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aryexec\Documents\Documents\Budget\"/>
    </mc:Choice>
  </mc:AlternateContent>
  <bookViews>
    <workbookView xWindow="0" yWindow="0" windowWidth="13584" windowHeight="51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Sheet1!$A$1:$P$176</definedName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P48" i="1" l="1"/>
  <c r="P47" i="1"/>
  <c r="J152" i="1" l="1"/>
  <c r="M166" i="1"/>
  <c r="N166" i="1"/>
  <c r="M79" i="1" l="1"/>
  <c r="J79" i="1"/>
  <c r="P79" i="1"/>
  <c r="N79" i="1"/>
  <c r="N62" i="1"/>
  <c r="P85" i="1"/>
  <c r="O85" i="1"/>
  <c r="N85" i="1"/>
  <c r="M85" i="1"/>
  <c r="K85" i="1"/>
  <c r="P152" i="1"/>
  <c r="N152" i="1"/>
  <c r="M152" i="1"/>
  <c r="P130" i="1"/>
  <c r="K130" i="1"/>
  <c r="J130" i="1"/>
  <c r="K152" i="1"/>
  <c r="M130" i="1"/>
  <c r="P163" i="1" l="1"/>
  <c r="P166" i="1" s="1"/>
  <c r="P99" i="1"/>
  <c r="P44" i="1"/>
  <c r="G163" i="1" l="1"/>
  <c r="G156" i="1"/>
  <c r="G158" i="1"/>
  <c r="G161" i="1"/>
  <c r="H152" i="1"/>
  <c r="G140" i="1"/>
  <c r="G145" i="1" s="1"/>
  <c r="G135" i="1"/>
  <c r="G137" i="1" s="1"/>
  <c r="G118" i="1"/>
  <c r="G120" i="1"/>
  <c r="G150" i="1"/>
  <c r="G152" i="1" s="1"/>
  <c r="G117" i="1"/>
  <c r="G155" i="1"/>
  <c r="G88" i="1"/>
  <c r="G106" i="1"/>
  <c r="G112" i="1"/>
  <c r="H145" i="1"/>
  <c r="G110" i="1"/>
  <c r="G76" i="1"/>
  <c r="G67" i="1"/>
  <c r="G170" i="1"/>
  <c r="G26" i="1"/>
  <c r="G27" i="1" s="1"/>
  <c r="G12" i="1"/>
  <c r="G14" i="1" s="1"/>
  <c r="H27" i="1"/>
  <c r="G166" i="1" l="1"/>
  <c r="G123" i="1"/>
  <c r="G127" i="1"/>
  <c r="G126" i="1"/>
  <c r="G107" i="1"/>
  <c r="G114" i="1" s="1"/>
  <c r="H92" i="1"/>
  <c r="G89" i="1"/>
  <c r="G92" i="1" s="1"/>
  <c r="G77" i="1"/>
  <c r="G79" i="1" s="1"/>
  <c r="O44" i="1"/>
  <c r="P38" i="1"/>
  <c r="P27" i="1"/>
  <c r="P92" i="1"/>
  <c r="P114" i="1"/>
  <c r="P123" i="1"/>
  <c r="P137" i="1"/>
  <c r="P145" i="1"/>
  <c r="P62" i="1"/>
  <c r="P65" i="1" s="1"/>
  <c r="E59" i="1"/>
  <c r="D59" i="1"/>
  <c r="P66" i="1" l="1"/>
  <c r="P73" i="1"/>
  <c r="P176" i="1" s="1"/>
  <c r="P14" i="1"/>
  <c r="P50" i="1" s="1"/>
  <c r="D62" i="1" l="1"/>
  <c r="E54" i="1"/>
  <c r="E62" i="1" s="1"/>
  <c r="G62" i="1"/>
  <c r="F62" i="1"/>
  <c r="H62" i="1"/>
  <c r="G65" i="1" l="1"/>
  <c r="G66" i="1"/>
  <c r="H66" i="1"/>
  <c r="H65" i="1"/>
  <c r="G32" i="1"/>
  <c r="G68" i="1"/>
  <c r="H165" i="1" l="1"/>
  <c r="H166" i="1" s="1"/>
  <c r="H137" i="1"/>
  <c r="H68" i="1"/>
  <c r="H128" i="1"/>
  <c r="H127" i="1"/>
  <c r="H123" i="1"/>
  <c r="K122" i="1"/>
  <c r="K120" i="1"/>
  <c r="H112" i="1"/>
  <c r="H110" i="1" s="1"/>
  <c r="H114" i="1" s="1"/>
  <c r="H103" i="1"/>
  <c r="H99" i="1"/>
  <c r="H85" i="1"/>
  <c r="H77" i="1"/>
  <c r="H76" i="1" s="1"/>
  <c r="H79" i="1" s="1"/>
  <c r="K73" i="1"/>
  <c r="K88" i="1"/>
  <c r="K159" i="1"/>
  <c r="K135" i="1"/>
  <c r="K137" i="1" s="1"/>
  <c r="K97" i="1"/>
  <c r="K76" i="1"/>
  <c r="K77" i="1"/>
  <c r="K79" i="1" l="1"/>
  <c r="N137" i="1"/>
  <c r="N14" i="1"/>
  <c r="M14" i="1"/>
  <c r="N27" i="1"/>
  <c r="M27" i="1"/>
  <c r="N32" i="1"/>
  <c r="M32" i="1"/>
  <c r="K32" i="1"/>
  <c r="M38" i="1"/>
  <c r="N44" i="1"/>
  <c r="M44" i="1"/>
  <c r="M62" i="1"/>
  <c r="N73" i="1"/>
  <c r="N99" i="1"/>
  <c r="M145" i="1"/>
  <c r="K145" i="1"/>
  <c r="N38" i="1"/>
  <c r="N145" i="1"/>
  <c r="N130" i="1" l="1"/>
  <c r="M50" i="1"/>
  <c r="N50" i="1"/>
  <c r="N92" i="1"/>
  <c r="N176" i="1" s="1"/>
  <c r="N114" i="1"/>
  <c r="N123" i="1"/>
  <c r="M92" i="1"/>
  <c r="M99" i="1"/>
  <c r="M114" i="1"/>
  <c r="M123" i="1"/>
  <c r="M137" i="1"/>
  <c r="J166" i="1"/>
  <c r="J145" i="1"/>
  <c r="J123" i="1"/>
  <c r="J114" i="1"/>
  <c r="J99" i="1"/>
  <c r="J92" i="1"/>
  <c r="J62" i="1"/>
  <c r="J73" i="1"/>
  <c r="F176" i="1"/>
  <c r="E38" i="1"/>
  <c r="E50" i="1" s="1"/>
  <c r="D38" i="1"/>
  <c r="D50" i="1" s="1"/>
  <c r="C38" i="1"/>
  <c r="F38" i="1"/>
  <c r="F50" i="1" s="1"/>
  <c r="E176" i="1"/>
  <c r="D176" i="1"/>
  <c r="C176" i="1"/>
  <c r="C50" i="1" l="1"/>
  <c r="O38" i="1"/>
  <c r="O50" i="1" s="1"/>
  <c r="K92" i="1"/>
  <c r="K166" i="1"/>
  <c r="K123" i="1"/>
  <c r="K114" i="1"/>
  <c r="K99" i="1"/>
  <c r="K14" i="1"/>
  <c r="G50" i="1" l="1"/>
  <c r="K62" i="1" l="1"/>
  <c r="K27" i="1"/>
  <c r="K50" i="1" s="1"/>
  <c r="H50" i="1"/>
  <c r="F228" i="1" l="1"/>
  <c r="E228" i="1"/>
  <c r="D220" i="1"/>
  <c r="D228" i="1" s="1"/>
  <c r="C228" i="1"/>
  <c r="M73" i="1" l="1"/>
  <c r="M176" i="1" s="1"/>
  <c r="F194" i="1"/>
  <c r="E194" i="1"/>
  <c r="E196" i="1" s="1"/>
  <c r="D194" i="1"/>
  <c r="F196" i="1" l="1"/>
  <c r="D196" i="1"/>
  <c r="C194" i="1"/>
  <c r="C197" i="1" l="1"/>
  <c r="C196" i="1"/>
  <c r="C198" i="1" l="1"/>
  <c r="D197" i="1" s="1"/>
  <c r="D198" i="1" s="1"/>
  <c r="E197" i="1" s="1"/>
  <c r="E198" i="1" s="1"/>
  <c r="F197" i="1" s="1"/>
  <c r="F198" i="1" s="1"/>
  <c r="O176" i="1" l="1"/>
  <c r="J176" i="1"/>
  <c r="K176" i="1"/>
  <c r="P177" i="1"/>
  <c r="H130" i="1"/>
  <c r="H176" i="1"/>
  <c r="G176" i="1"/>
  <c r="G130" i="1"/>
</calcChain>
</file>

<file path=xl/sharedStrings.xml><?xml version="1.0" encoding="utf-8"?>
<sst xmlns="http://schemas.openxmlformats.org/spreadsheetml/2006/main" count="271" uniqueCount="262">
  <si>
    <t>Total Income</t>
  </si>
  <si>
    <t>Book Processing</t>
  </si>
  <si>
    <t>???</t>
  </si>
  <si>
    <t>Income</t>
  </si>
  <si>
    <t>Account</t>
  </si>
  <si>
    <t>Gifts and Endowments</t>
  </si>
  <si>
    <t>11.14.a</t>
  </si>
  <si>
    <t>Genevieve Nue Endowment</t>
  </si>
  <si>
    <t>11.14.b</t>
  </si>
  <si>
    <t>Other Gifts</t>
  </si>
  <si>
    <t>Total Gifts and Endowments</t>
  </si>
  <si>
    <t>Fund Raising</t>
  </si>
  <si>
    <t>11.15.a</t>
  </si>
  <si>
    <t>Event</t>
  </si>
  <si>
    <t>Total Fund Raising</t>
  </si>
  <si>
    <t>Income From Investments</t>
  </si>
  <si>
    <t>11.16.a</t>
  </si>
  <si>
    <t>Library Primary Checking Account</t>
  </si>
  <si>
    <t>11.16.b</t>
  </si>
  <si>
    <t>11.16.c</t>
  </si>
  <si>
    <t>Other Investments</t>
  </si>
  <si>
    <t>Total Income From Investments</t>
  </si>
  <si>
    <t>Library Charges</t>
  </si>
  <si>
    <t>11.17.a</t>
  </si>
  <si>
    <t>Printing &amp; Copying</t>
  </si>
  <si>
    <t>11.17.b</t>
  </si>
  <si>
    <t>Fines</t>
  </si>
  <si>
    <t>11.17.c</t>
  </si>
  <si>
    <t>Fees to Replace Damaged Material</t>
  </si>
  <si>
    <t>Total Library Charges</t>
  </si>
  <si>
    <t>Local Library Services Aid (LLSA)</t>
  </si>
  <si>
    <t>Central Library Aid (CLDA and/or CBA)</t>
  </si>
  <si>
    <t>Federal Aid received from System</t>
  </si>
  <si>
    <t>Other Cash Grants</t>
  </si>
  <si>
    <t>?????(LSTA)</t>
  </si>
  <si>
    <t>11.10</t>
  </si>
  <si>
    <t>11.11</t>
  </si>
  <si>
    <t>Other Federal Aid</t>
  </si>
  <si>
    <t>11.13</t>
  </si>
  <si>
    <t>Contracts with Public Libraries</t>
  </si>
  <si>
    <t>11.18</t>
  </si>
  <si>
    <t>2013     Actual</t>
  </si>
  <si>
    <t>2014     Actual</t>
  </si>
  <si>
    <t>2015     Actual</t>
  </si>
  <si>
    <t>2016     Actual</t>
  </si>
  <si>
    <t>2017     Actual</t>
  </si>
  <si>
    <t>2018     Actual</t>
  </si>
  <si>
    <t>11.7.a</t>
  </si>
  <si>
    <t>11.7.b</t>
  </si>
  <si>
    <t>Steuben County Library Aid</t>
  </si>
  <si>
    <t>Total Other Cash Grants</t>
  </si>
  <si>
    <t xml:space="preserve">12.2 </t>
  </si>
  <si>
    <t>Salaries - Other Staff</t>
  </si>
  <si>
    <t>Director</t>
  </si>
  <si>
    <t>12.2.a</t>
  </si>
  <si>
    <t>12.2.b</t>
  </si>
  <si>
    <t>YS/Programming Coordinator</t>
  </si>
  <si>
    <t>12.2.c</t>
  </si>
  <si>
    <t>Senior Library Assistant</t>
  </si>
  <si>
    <t>12.2.d</t>
  </si>
  <si>
    <t>Library Assistant</t>
  </si>
  <si>
    <t>12.2.e</t>
  </si>
  <si>
    <t>Bookkeeper</t>
  </si>
  <si>
    <t>12.2.f</t>
  </si>
  <si>
    <t>Liberay Pages</t>
  </si>
  <si>
    <t>Total Staff Salaries</t>
  </si>
  <si>
    <t>2020      Budget</t>
  </si>
  <si>
    <t>2019      Budget</t>
  </si>
  <si>
    <t>12.4</t>
  </si>
  <si>
    <t>Employee Benefits</t>
  </si>
  <si>
    <t>12.4.a</t>
  </si>
  <si>
    <t>Social Security</t>
  </si>
  <si>
    <t>12.4.b</t>
  </si>
  <si>
    <t>Medicare</t>
  </si>
  <si>
    <t>12.4.c</t>
  </si>
  <si>
    <t>Unemployment Insurance</t>
  </si>
  <si>
    <t>12.4.d</t>
  </si>
  <si>
    <t>12.4.e</t>
  </si>
  <si>
    <t>12.4.f</t>
  </si>
  <si>
    <t>Supplemental Paid Family Leave</t>
  </si>
  <si>
    <t>Supplemental PFL Checking Account</t>
  </si>
  <si>
    <t>Total Employee Benefits</t>
  </si>
  <si>
    <t>Expenses</t>
  </si>
  <si>
    <t>12.6</t>
  </si>
  <si>
    <t>Print Materials Expenditures</t>
  </si>
  <si>
    <t>12.6.a</t>
  </si>
  <si>
    <t>Books</t>
  </si>
  <si>
    <t>12.6.b</t>
  </si>
  <si>
    <t>Magazines</t>
  </si>
  <si>
    <t>Total  Print Materials</t>
  </si>
  <si>
    <t>12.7</t>
  </si>
  <si>
    <t>Electronic Material Expenditures</t>
  </si>
  <si>
    <t>12.8</t>
  </si>
  <si>
    <t>Other Materials Expenditures</t>
  </si>
  <si>
    <t>12.8.a</t>
  </si>
  <si>
    <t>DVDs</t>
  </si>
  <si>
    <t>12.8.b</t>
  </si>
  <si>
    <t>Audio Books</t>
  </si>
  <si>
    <t>12.8.c</t>
  </si>
  <si>
    <t>Music</t>
  </si>
  <si>
    <t>Total Other Materials</t>
  </si>
  <si>
    <t>12.10</t>
  </si>
  <si>
    <t>Capital Expenditures - From Local Public Funds</t>
  </si>
  <si>
    <t>12.11</t>
  </si>
  <si>
    <t>Capital Expenditures - From Operating Funds</t>
  </si>
  <si>
    <t>12.13</t>
  </si>
  <si>
    <t>Facility Repairs - From Local Public Funds</t>
  </si>
  <si>
    <t>12.14</t>
  </si>
  <si>
    <t>Facility Repairs - From Operating Funds</t>
  </si>
  <si>
    <t>12.16</t>
  </si>
  <si>
    <t>12.18</t>
  </si>
  <si>
    <t>Office and Library Supplies</t>
  </si>
  <si>
    <t>12.19</t>
  </si>
  <si>
    <t>Telecommunications</t>
  </si>
  <si>
    <t xml:space="preserve">12.20 </t>
  </si>
  <si>
    <t>Binding Expenses</t>
  </si>
  <si>
    <t>12.21</t>
  </si>
  <si>
    <t>Postage and Freight</t>
  </si>
  <si>
    <t>12.22</t>
  </si>
  <si>
    <t>Professional &amp; Consultant Fees</t>
  </si>
  <si>
    <t>12.23</t>
  </si>
  <si>
    <t>Equipment</t>
  </si>
  <si>
    <t>12.24</t>
  </si>
  <si>
    <t>Other Miscellaneous</t>
  </si>
  <si>
    <t>12.26</t>
  </si>
  <si>
    <t>12.27</t>
  </si>
  <si>
    <t>12.28</t>
  </si>
  <si>
    <t>12.30</t>
  </si>
  <si>
    <t>Budget Loans</t>
  </si>
  <si>
    <t>12.31</t>
  </si>
  <si>
    <t>Short Term Loans</t>
  </si>
  <si>
    <t>Capital Purpose Loans (Principal&amp;Interest)</t>
  </si>
  <si>
    <t>Total Operating Fund Disbursements</t>
  </si>
  <si>
    <t>Additional State Aid  from System</t>
  </si>
  <si>
    <t>11.7.c</t>
  </si>
  <si>
    <t>Local Public Funds - Taxes via WCCS</t>
  </si>
  <si>
    <t>12.11.a</t>
  </si>
  <si>
    <t>12.11.b</t>
  </si>
  <si>
    <t>Total Capital Expenditures (PF)</t>
  </si>
  <si>
    <t>Other</t>
  </si>
  <si>
    <t>12.16.a</t>
  </si>
  <si>
    <t>12.16.b</t>
  </si>
  <si>
    <t>12.16.c</t>
  </si>
  <si>
    <t>12.16.d</t>
  </si>
  <si>
    <t>12.16.e</t>
  </si>
  <si>
    <t>12.16.f</t>
  </si>
  <si>
    <t>Bilding Maint Supplies</t>
  </si>
  <si>
    <t>Garbage Pickup</t>
  </si>
  <si>
    <t>Property Insurance</t>
  </si>
  <si>
    <t>Utilities - Electric</t>
  </si>
  <si>
    <t>Utilities - Natural Gas</t>
  </si>
  <si>
    <t>12.16.g</t>
  </si>
  <si>
    <t xml:space="preserve">Building Operations &amp; Maintenance </t>
  </si>
  <si>
    <t>Total Operation &amp; Maintenance</t>
  </si>
  <si>
    <t>12.18.a</t>
  </si>
  <si>
    <t>12.18.b</t>
  </si>
  <si>
    <t>12.18.c</t>
  </si>
  <si>
    <t>12.18.d</t>
  </si>
  <si>
    <t>Program Supplies</t>
  </si>
  <si>
    <t>Summer Reading Program</t>
  </si>
  <si>
    <t>Total Office&amp;Library Supplies</t>
  </si>
  <si>
    <t>12.19.a</t>
  </si>
  <si>
    <t>12.19.b</t>
  </si>
  <si>
    <t>12.19.c</t>
  </si>
  <si>
    <t>STLS - Internet Service</t>
  </si>
  <si>
    <t>Verizon - Internet Hotspots</t>
  </si>
  <si>
    <t>Total Telecommunications</t>
  </si>
  <si>
    <t>12.22.a</t>
  </si>
  <si>
    <t>12.22.b</t>
  </si>
  <si>
    <t>12.22.c</t>
  </si>
  <si>
    <t>Accounting Services - John Malter</t>
  </si>
  <si>
    <t>Program Presenters</t>
  </si>
  <si>
    <t>Total Professional Fees</t>
  </si>
  <si>
    <t>12.23.a</t>
  </si>
  <si>
    <t>12.23.b</t>
  </si>
  <si>
    <t>Total Equipment</t>
  </si>
  <si>
    <t>12.24.a</t>
  </si>
  <si>
    <t>12.24.b</t>
  </si>
  <si>
    <t>12.24.c</t>
  </si>
  <si>
    <t>12.24.d</t>
  </si>
  <si>
    <t>12.24.e</t>
  </si>
  <si>
    <t>12.24.f</t>
  </si>
  <si>
    <t>12.24.g</t>
  </si>
  <si>
    <t>12.24.h</t>
  </si>
  <si>
    <t>Advertizing</t>
  </si>
  <si>
    <t>Cost Share (STLS)</t>
  </si>
  <si>
    <t>Milage</t>
  </si>
  <si>
    <t>Programs</t>
  </si>
  <si>
    <t>Staff Training/Conferences</t>
  </si>
  <si>
    <t>Total Miscellaneous</t>
  </si>
  <si>
    <t>Cleaning Service</t>
  </si>
  <si>
    <t>Loans From  Local Public Funds</t>
  </si>
  <si>
    <t>Loans From Other Funds</t>
  </si>
  <si>
    <t>Other State Aid  (NYS Bullet Aid)</t>
  </si>
  <si>
    <t>12.19.d</t>
  </si>
  <si>
    <t>Website Domain Renewal</t>
  </si>
  <si>
    <t xml:space="preserve"> </t>
  </si>
  <si>
    <t>Post Office Box</t>
  </si>
  <si>
    <t>Frontier - Phone &amp; Fax Service</t>
  </si>
  <si>
    <t>Contracts with Public Libraries (Cost Share)</t>
  </si>
  <si>
    <t>Computer Hardware</t>
  </si>
  <si>
    <t xml:space="preserve">Postage    </t>
  </si>
  <si>
    <t>Local</t>
  </si>
  <si>
    <t>Construction Grant 2020</t>
  </si>
  <si>
    <t>6 Year Average</t>
  </si>
  <si>
    <t>Water Service</t>
  </si>
  <si>
    <t>12.16.h</t>
  </si>
  <si>
    <t>T-Mobile - Internet Hotspots</t>
  </si>
  <si>
    <t>12.6.c</t>
  </si>
  <si>
    <t>Newspapers</t>
  </si>
  <si>
    <t>Other Shipping</t>
  </si>
  <si>
    <t>12.23.c</t>
  </si>
  <si>
    <t>2019    Actual</t>
  </si>
  <si>
    <t>E-Books</t>
  </si>
  <si>
    <t>Santa's Shop</t>
  </si>
  <si>
    <t>12.18.e</t>
  </si>
  <si>
    <t>NYS Constuction Expenses</t>
  </si>
  <si>
    <t>Computer Software</t>
  </si>
  <si>
    <t>Fall Foliage Festival - Prize</t>
  </si>
  <si>
    <t>11.15.b</t>
  </si>
  <si>
    <t>12.2.g</t>
  </si>
  <si>
    <t>Assistant to the Director</t>
  </si>
  <si>
    <t>Overdrive (Libby)</t>
  </si>
  <si>
    <t>12.22.d</t>
  </si>
  <si>
    <t>Carpet/Floor Cleaning</t>
  </si>
  <si>
    <t>Memberships (NYLA,ALA)</t>
  </si>
  <si>
    <t>12.24.i</t>
  </si>
  <si>
    <t>Capital Fund Savings</t>
  </si>
  <si>
    <t>12.22.e</t>
  </si>
  <si>
    <t>12.4.g</t>
  </si>
  <si>
    <t xml:space="preserve">Surety (Fidelity) Bond </t>
  </si>
  <si>
    <t>Other (Toner)</t>
  </si>
  <si>
    <t>Cleaning Supplies</t>
  </si>
  <si>
    <t>12.18.f</t>
  </si>
  <si>
    <t>Office Supplies (Paper, Pens, Paper clips, etc)</t>
  </si>
  <si>
    <t>12.24.j</t>
  </si>
  <si>
    <t>Yoga Class Instructor</t>
  </si>
  <si>
    <t>12.24.k</t>
  </si>
  <si>
    <t>Digital Library Contribution</t>
  </si>
  <si>
    <t>Unallocated Funds</t>
  </si>
  <si>
    <t>Freegal</t>
  </si>
  <si>
    <t>12.7.a</t>
  </si>
  <si>
    <t>12.7.b</t>
  </si>
  <si>
    <t>12.7.c</t>
  </si>
  <si>
    <t>12.23.d</t>
  </si>
  <si>
    <t>2020 Actual (as of 9/30)</t>
  </si>
  <si>
    <t>Wages Paid - Other</t>
  </si>
  <si>
    <t>12.8.d</t>
  </si>
  <si>
    <t>Other Materials</t>
  </si>
  <si>
    <t>Other Receipts</t>
  </si>
  <si>
    <t>11.18.a</t>
  </si>
  <si>
    <t>Transfer from Savings</t>
  </si>
  <si>
    <t>Total Other Receipts</t>
  </si>
  <si>
    <t>12.4.h</t>
  </si>
  <si>
    <t>Workers Comp (Fleury Risk Mgt.)</t>
  </si>
  <si>
    <t>Disability Insurance (Shelterpoint)</t>
  </si>
  <si>
    <t>Paid Family Leave (Shelterpoint)</t>
  </si>
  <si>
    <t>12.21.a</t>
  </si>
  <si>
    <t>12.21.b</t>
  </si>
  <si>
    <t>12.21.c</t>
  </si>
  <si>
    <t>2021  Budget</t>
  </si>
  <si>
    <t>2022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</si>
</sst>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 applyFont="1"/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49" fontId="3" fillId="0" borderId="0" xfId="0" applyNumberFormat="1" applyFont="1"/>
    <xf numFmtId="0" fontId="3" fillId="0" borderId="0" xfId="0" applyFo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/>
    <xf numFmtId="164" fontId="0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/>
    <xf numFmtId="165" fontId="0" fillId="0" borderId="0" xfId="0" applyNumberFormat="1" applyAlignment="1">
      <alignment wrapText="1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165" fontId="5" fillId="0" borderId="0" xfId="0" applyNumberFormat="1" applyFont="1" applyAlignment="1">
      <alignment wrapText="1"/>
    </xf>
    <xf numFmtId="165" fontId="5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/>
    <xf numFmtId="4" fontId="5" fillId="0" borderId="0" xfId="0" applyNumberFormat="1" applyFont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0" borderId="0" xfId="0" applyFont="1" applyBorder="1"/>
    <xf numFmtId="49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tabSelected="1" zoomScaleNormal="100" workbookViewId="0">
      <pane xSplit="2" ySplit="1" topLeftCell="J3" activePane="bottomRight" state="frozenSplit"/>
      <selection pane="topRight" activeCell="G1" sqref="G1"/>
      <selection pane="bottomLeft" activeCell="A21" sqref="A21"/>
      <selection pane="bottomRight" activeCell="R1" sqref="R1"/>
    </sheetView>
  </sheetViews>
  <sheetFormatPr defaultRowHeight="14.4" x14ac:dyDescent="0.3"/>
  <cols>
    <col min="1" max="1" width="9.109375" style="21"/>
    <col min="2" max="2" width="42.33203125" customWidth="1"/>
    <col min="3" max="6" width="11.109375" style="13" hidden="1" customWidth="1"/>
    <col min="7" max="7" width="11.109375" style="31" hidden="1" customWidth="1"/>
    <col min="8" max="8" width="11.109375" style="30" hidden="1" customWidth="1"/>
    <col min="9" max="9" width="2.6640625" style="30" hidden="1" customWidth="1"/>
    <col min="10" max="10" width="11.109375" style="13" customWidth="1"/>
    <col min="11" max="11" width="11.109375" style="13" bestFit="1" customWidth="1"/>
    <col min="12" max="12" width="2" style="9" customWidth="1"/>
    <col min="13" max="13" width="11.109375" style="31" bestFit="1" customWidth="1"/>
    <col min="14" max="14" width="11.109375" style="13" bestFit="1" customWidth="1"/>
    <col min="15" max="15" width="0" style="56" hidden="1" customWidth="1"/>
    <col min="16" max="16" width="11.33203125" style="31" bestFit="1" customWidth="1"/>
  </cols>
  <sheetData>
    <row r="1" spans="1:18" s="10" customFormat="1" ht="28.8" x14ac:dyDescent="0.3">
      <c r="A1" s="15"/>
      <c r="C1" s="24" t="s">
        <v>41</v>
      </c>
      <c r="D1" s="24" t="s">
        <v>42</v>
      </c>
      <c r="E1" s="24" t="s">
        <v>43</v>
      </c>
      <c r="F1" s="24" t="s">
        <v>44</v>
      </c>
      <c r="G1" s="27" t="s">
        <v>45</v>
      </c>
      <c r="H1" s="27" t="s">
        <v>46</v>
      </c>
      <c r="I1" s="27"/>
      <c r="J1" s="24" t="s">
        <v>67</v>
      </c>
      <c r="K1" s="23" t="s">
        <v>212</v>
      </c>
      <c r="L1" s="23"/>
      <c r="M1" s="27" t="s">
        <v>66</v>
      </c>
      <c r="N1" s="23" t="s">
        <v>245</v>
      </c>
      <c r="O1" s="24" t="s">
        <v>204</v>
      </c>
      <c r="P1" s="27" t="s">
        <v>260</v>
      </c>
      <c r="R1" s="10" t="s">
        <v>261</v>
      </c>
    </row>
    <row r="2" spans="1:18" s="3" customFormat="1" x14ac:dyDescent="0.3">
      <c r="A2" s="15" t="s">
        <v>4</v>
      </c>
      <c r="B2" s="3" t="s">
        <v>3</v>
      </c>
      <c r="C2" s="28"/>
      <c r="D2" s="28"/>
      <c r="E2" s="28"/>
      <c r="F2" s="28"/>
      <c r="G2" s="28"/>
      <c r="H2" s="30"/>
      <c r="I2" s="30"/>
      <c r="J2" s="8"/>
      <c r="K2" s="8"/>
      <c r="L2" s="8"/>
      <c r="M2" s="28"/>
      <c r="N2" s="8"/>
      <c r="O2" s="49"/>
      <c r="P2" s="28"/>
    </row>
    <row r="3" spans="1:18" s="5" customFormat="1" x14ac:dyDescent="0.3">
      <c r="A3" s="16">
        <v>11.2</v>
      </c>
      <c r="B3" s="5" t="s">
        <v>135</v>
      </c>
      <c r="C3" s="28">
        <v>66300</v>
      </c>
      <c r="D3" s="28">
        <v>75000</v>
      </c>
      <c r="E3" s="28">
        <v>145000</v>
      </c>
      <c r="F3" s="28">
        <v>145000</v>
      </c>
      <c r="G3" s="28">
        <v>152000</v>
      </c>
      <c r="H3" s="29">
        <v>154200</v>
      </c>
      <c r="I3" s="29"/>
      <c r="J3" s="14"/>
      <c r="K3" s="28">
        <v>158000</v>
      </c>
      <c r="L3" s="8"/>
      <c r="M3" s="28">
        <v>158000</v>
      </c>
      <c r="N3" s="8"/>
      <c r="O3" s="50"/>
      <c r="P3" s="28">
        <v>163000</v>
      </c>
      <c r="R3" s="83">
        <v>166000</v>
      </c>
    </row>
    <row r="4" spans="1:18" s="5" customFormat="1" x14ac:dyDescent="0.3">
      <c r="A4" s="16"/>
      <c r="C4" s="28"/>
      <c r="D4" s="28"/>
      <c r="E4" s="28"/>
      <c r="F4" s="28"/>
      <c r="G4" s="28"/>
      <c r="H4" s="29"/>
      <c r="I4" s="29"/>
      <c r="J4" s="14"/>
      <c r="K4" s="28"/>
      <c r="L4" s="8"/>
      <c r="M4" s="28"/>
      <c r="N4" s="8"/>
      <c r="O4" s="50"/>
      <c r="P4" s="28"/>
    </row>
    <row r="5" spans="1:18" s="11" customFormat="1" x14ac:dyDescent="0.3">
      <c r="A5" s="18">
        <v>11.3</v>
      </c>
      <c r="B5" s="11" t="s">
        <v>30</v>
      </c>
      <c r="C5" s="29">
        <v>1252</v>
      </c>
      <c r="D5" s="48">
        <v>1398</v>
      </c>
      <c r="E5" s="29">
        <v>1346</v>
      </c>
      <c r="F5" s="29">
        <v>1404</v>
      </c>
      <c r="G5" s="29">
        <v>1404</v>
      </c>
      <c r="H5" s="29">
        <v>1419</v>
      </c>
      <c r="I5" s="29"/>
      <c r="J5" s="14"/>
      <c r="K5" s="28">
        <v>1419</v>
      </c>
      <c r="L5" s="14"/>
      <c r="M5" s="29">
        <v>1400</v>
      </c>
      <c r="N5" s="14"/>
      <c r="O5" s="51"/>
      <c r="P5" s="29">
        <v>1098</v>
      </c>
    </row>
    <row r="6" spans="1:18" s="3" customFormat="1" x14ac:dyDescent="0.3">
      <c r="A6" s="16">
        <v>11.4</v>
      </c>
      <c r="B6" s="5" t="s">
        <v>31</v>
      </c>
      <c r="C6" s="28"/>
      <c r="D6" s="28"/>
      <c r="E6" s="28"/>
      <c r="F6" s="28"/>
      <c r="G6" s="28"/>
      <c r="H6" s="32"/>
      <c r="I6" s="32"/>
      <c r="J6" s="14"/>
      <c r="K6" s="8"/>
      <c r="L6" s="8"/>
      <c r="M6" s="28"/>
      <c r="N6" s="8"/>
      <c r="O6" s="49"/>
      <c r="P6" s="28"/>
    </row>
    <row r="7" spans="1:18" s="3" customFormat="1" x14ac:dyDescent="0.3">
      <c r="A7" s="16">
        <v>11.5</v>
      </c>
      <c r="B7" s="5" t="s">
        <v>133</v>
      </c>
      <c r="C7" s="28"/>
      <c r="D7" s="28"/>
      <c r="E7" s="28"/>
      <c r="F7" s="28">
        <v>3500</v>
      </c>
      <c r="G7" s="28"/>
      <c r="H7" s="29">
        <v>0</v>
      </c>
      <c r="I7" s="29"/>
      <c r="J7" s="14"/>
      <c r="K7" s="8"/>
      <c r="L7" s="8"/>
      <c r="M7" s="28"/>
      <c r="N7" s="8"/>
      <c r="O7" s="49"/>
      <c r="P7" s="28"/>
    </row>
    <row r="8" spans="1:18" s="3" customFormat="1" x14ac:dyDescent="0.3">
      <c r="A8" s="16">
        <v>11.6</v>
      </c>
      <c r="B8" s="5" t="s">
        <v>32</v>
      </c>
      <c r="C8" s="28">
        <v>100</v>
      </c>
      <c r="D8" s="28"/>
      <c r="E8" s="28"/>
      <c r="F8" s="28"/>
      <c r="G8" s="28"/>
      <c r="H8" s="32"/>
      <c r="I8" s="32"/>
      <c r="J8" s="14"/>
      <c r="K8" s="8"/>
      <c r="L8" s="8"/>
      <c r="M8" s="28"/>
      <c r="N8" s="8"/>
      <c r="O8" s="49"/>
      <c r="P8" s="28"/>
    </row>
    <row r="9" spans="1:18" s="3" customFormat="1" x14ac:dyDescent="0.3">
      <c r="A9" s="16"/>
      <c r="B9" s="5"/>
      <c r="C9" s="28"/>
      <c r="D9" s="28"/>
      <c r="E9" s="28"/>
      <c r="F9" s="28"/>
      <c r="G9" s="28"/>
      <c r="H9" s="32"/>
      <c r="I9" s="32"/>
      <c r="J9" s="14"/>
      <c r="K9" s="8"/>
      <c r="L9" s="8"/>
      <c r="M9" s="28"/>
      <c r="N9" s="8"/>
      <c r="O9" s="49"/>
      <c r="P9" s="28"/>
    </row>
    <row r="10" spans="1:18" s="3" customFormat="1" x14ac:dyDescent="0.3">
      <c r="A10" s="16">
        <v>11.7</v>
      </c>
      <c r="B10" s="5" t="s">
        <v>33</v>
      </c>
      <c r="C10" s="28"/>
      <c r="D10" s="28"/>
      <c r="E10" s="28"/>
      <c r="H10" s="34"/>
      <c r="I10" s="34"/>
      <c r="K10" s="8"/>
      <c r="L10" s="8"/>
      <c r="M10" s="28"/>
      <c r="N10" s="8"/>
      <c r="O10" s="49"/>
      <c r="P10" s="28"/>
    </row>
    <row r="11" spans="1:18" s="68" customFormat="1" x14ac:dyDescent="0.3">
      <c r="A11" s="62" t="s">
        <v>47</v>
      </c>
      <c r="B11" s="63" t="s">
        <v>203</v>
      </c>
      <c r="C11" s="64"/>
      <c r="D11" s="64">
        <v>4012.48</v>
      </c>
      <c r="E11" s="64"/>
      <c r="F11" s="64"/>
      <c r="G11" s="64">
        <v>788</v>
      </c>
      <c r="H11" s="64"/>
      <c r="I11" s="65"/>
      <c r="J11" s="66"/>
      <c r="K11" s="64">
        <v>1100</v>
      </c>
      <c r="L11" s="64"/>
      <c r="M11" s="65">
        <v>45000</v>
      </c>
      <c r="N11" s="64">
        <v>40500</v>
      </c>
      <c r="O11" s="67"/>
      <c r="P11" s="65"/>
    </row>
    <row r="12" spans="1:18" s="68" customFormat="1" x14ac:dyDescent="0.3">
      <c r="A12" s="62" t="s">
        <v>48</v>
      </c>
      <c r="B12" s="63" t="s">
        <v>49</v>
      </c>
      <c r="C12" s="64"/>
      <c r="D12" s="64"/>
      <c r="E12" s="64"/>
      <c r="F12" s="64"/>
      <c r="G12" s="64">
        <f>4476+794</f>
        <v>5270</v>
      </c>
      <c r="H12" s="64"/>
      <c r="I12" s="65"/>
      <c r="J12" s="66"/>
      <c r="K12" s="64">
        <v>4476</v>
      </c>
      <c r="L12" s="64"/>
      <c r="M12" s="65">
        <v>4476</v>
      </c>
      <c r="N12" s="64">
        <v>4476</v>
      </c>
      <c r="O12" s="67"/>
      <c r="P12" s="64">
        <v>4476</v>
      </c>
    </row>
    <row r="13" spans="1:18" s="68" customFormat="1" x14ac:dyDescent="0.3">
      <c r="A13" s="62" t="s">
        <v>134</v>
      </c>
      <c r="B13" s="63" t="s">
        <v>33</v>
      </c>
      <c r="C13" s="64"/>
      <c r="D13" s="64"/>
      <c r="E13" s="64"/>
      <c r="F13" s="64"/>
      <c r="G13" s="64">
        <v>750</v>
      </c>
      <c r="H13" s="64"/>
      <c r="I13" s="65"/>
      <c r="J13" s="66"/>
      <c r="K13" s="64">
        <v>1000</v>
      </c>
      <c r="L13" s="64"/>
      <c r="M13" s="65"/>
      <c r="N13" s="64"/>
      <c r="O13" s="67"/>
      <c r="P13" s="65"/>
    </row>
    <row r="14" spans="1:18" s="3" customFormat="1" x14ac:dyDescent="0.3">
      <c r="A14" s="22"/>
      <c r="B14" s="4" t="s">
        <v>50</v>
      </c>
      <c r="C14" s="28">
        <v>391</v>
      </c>
      <c r="D14" s="28"/>
      <c r="E14" s="28">
        <v>4714</v>
      </c>
      <c r="F14" s="28">
        <v>4811</v>
      </c>
      <c r="G14" s="28">
        <f>SUM(G11:G13)</f>
        <v>6808</v>
      </c>
      <c r="H14" s="29">
        <v>8750</v>
      </c>
      <c r="I14" s="29"/>
      <c r="J14" s="14"/>
      <c r="K14" s="28">
        <f>SUM(K11:K13)</f>
        <v>6576</v>
      </c>
      <c r="L14" s="8"/>
      <c r="M14" s="59">
        <f>SUM(M11:M13)</f>
        <v>49476</v>
      </c>
      <c r="N14" s="59">
        <f>SUM(N11:N13)</f>
        <v>44976</v>
      </c>
      <c r="O14" s="49"/>
      <c r="P14" s="59">
        <f>SUM(P11:P13)</f>
        <v>4476</v>
      </c>
    </row>
    <row r="15" spans="1:18" s="3" customFormat="1" x14ac:dyDescent="0.3">
      <c r="A15" s="22"/>
      <c r="B15" s="4"/>
      <c r="C15" s="28"/>
      <c r="D15" s="28"/>
      <c r="E15" s="28"/>
      <c r="F15" s="28"/>
      <c r="G15" s="28"/>
      <c r="H15" s="29"/>
      <c r="I15" s="29"/>
      <c r="J15" s="14"/>
      <c r="K15" s="28"/>
      <c r="L15" s="8"/>
      <c r="M15" s="59"/>
      <c r="N15" s="59"/>
      <c r="O15" s="49"/>
      <c r="P15" s="59"/>
    </row>
    <row r="16" spans="1:18" s="3" customFormat="1" x14ac:dyDescent="0.3">
      <c r="A16" s="16">
        <v>11.9</v>
      </c>
      <c r="B16" s="5" t="s">
        <v>193</v>
      </c>
      <c r="C16" s="30"/>
      <c r="D16" s="30"/>
      <c r="E16" s="30"/>
      <c r="F16" s="30"/>
      <c r="G16" s="28">
        <v>9600</v>
      </c>
      <c r="H16" s="29">
        <v>9900</v>
      </c>
      <c r="I16" s="29"/>
      <c r="J16" s="14"/>
      <c r="K16" s="28">
        <v>2500</v>
      </c>
      <c r="L16" s="8"/>
      <c r="M16" s="28">
        <v>2500</v>
      </c>
      <c r="N16" s="8"/>
      <c r="O16" s="49"/>
      <c r="P16" s="28"/>
    </row>
    <row r="17" spans="1:16" s="3" customFormat="1" x14ac:dyDescent="0.3">
      <c r="A17" s="16"/>
      <c r="B17" s="5"/>
      <c r="C17" s="30"/>
      <c r="D17" s="30"/>
      <c r="E17" s="30"/>
      <c r="F17" s="30"/>
      <c r="G17" s="28"/>
      <c r="H17" s="29"/>
      <c r="I17" s="29"/>
      <c r="J17" s="14"/>
      <c r="K17" s="28"/>
      <c r="L17" s="8"/>
      <c r="M17" s="28"/>
      <c r="N17" s="8"/>
      <c r="O17" s="49"/>
      <c r="P17" s="28"/>
    </row>
    <row r="18" spans="1:16" s="7" customFormat="1" x14ac:dyDescent="0.3">
      <c r="A18" s="16" t="s">
        <v>35</v>
      </c>
      <c r="B18" s="5" t="s">
        <v>34</v>
      </c>
      <c r="C18" s="30"/>
      <c r="D18" s="30"/>
      <c r="E18" s="30"/>
      <c r="F18" s="30"/>
      <c r="G18" s="30"/>
      <c r="H18" s="32"/>
      <c r="I18" s="32"/>
      <c r="J18" s="14"/>
      <c r="K18" s="12"/>
      <c r="L18" s="12"/>
      <c r="M18" s="30"/>
      <c r="N18" s="12"/>
      <c r="O18" s="52"/>
      <c r="P18" s="30"/>
    </row>
    <row r="19" spans="1:16" s="7" customFormat="1" x14ac:dyDescent="0.3">
      <c r="A19" s="16"/>
      <c r="B19" s="5"/>
      <c r="C19" s="30"/>
      <c r="D19" s="30"/>
      <c r="E19" s="30"/>
      <c r="F19" s="30"/>
      <c r="G19" s="30"/>
      <c r="H19" s="32"/>
      <c r="I19" s="32"/>
      <c r="J19" s="14"/>
      <c r="K19" s="12"/>
      <c r="L19" s="12"/>
      <c r="M19" s="30"/>
      <c r="N19" s="12"/>
      <c r="O19" s="52"/>
      <c r="P19" s="30"/>
    </row>
    <row r="20" spans="1:16" s="7" customFormat="1" x14ac:dyDescent="0.3">
      <c r="A20" s="16" t="s">
        <v>36</v>
      </c>
      <c r="B20" s="5" t="s">
        <v>37</v>
      </c>
      <c r="C20" s="30"/>
      <c r="D20" s="30"/>
      <c r="E20" s="30"/>
      <c r="F20" s="30"/>
      <c r="G20" s="30"/>
      <c r="H20" s="32"/>
      <c r="I20" s="32"/>
      <c r="J20" s="14"/>
      <c r="K20" s="12"/>
      <c r="L20" s="12"/>
      <c r="M20" s="30"/>
      <c r="N20" s="12"/>
      <c r="O20" s="52"/>
      <c r="P20" s="30"/>
    </row>
    <row r="21" spans="1:16" s="7" customFormat="1" x14ac:dyDescent="0.3">
      <c r="A21" s="16"/>
      <c r="B21" s="5"/>
      <c r="C21" s="30"/>
      <c r="D21" s="30"/>
      <c r="E21" s="30"/>
      <c r="F21" s="30"/>
      <c r="G21" s="30"/>
      <c r="H21" s="32"/>
      <c r="I21" s="32"/>
      <c r="J21" s="14"/>
      <c r="K21" s="12"/>
      <c r="L21" s="12"/>
      <c r="M21" s="30"/>
      <c r="N21" s="12"/>
      <c r="O21" s="52"/>
      <c r="P21" s="30"/>
    </row>
    <row r="22" spans="1:16" s="7" customFormat="1" x14ac:dyDescent="0.3">
      <c r="A22" s="16" t="s">
        <v>38</v>
      </c>
      <c r="B22" s="5" t="s">
        <v>39</v>
      </c>
      <c r="C22" s="30"/>
      <c r="D22" s="30"/>
      <c r="E22" s="30"/>
      <c r="F22" s="30"/>
      <c r="G22" s="30"/>
      <c r="H22" s="32"/>
      <c r="I22" s="32"/>
      <c r="J22" s="14"/>
      <c r="K22" s="12"/>
      <c r="L22" s="12"/>
      <c r="M22" s="30"/>
      <c r="N22" s="12"/>
      <c r="O22" s="52"/>
      <c r="P22" s="30"/>
    </row>
    <row r="23" spans="1:16" s="7" customFormat="1" x14ac:dyDescent="0.3">
      <c r="A23" s="16"/>
      <c r="B23" s="5"/>
      <c r="C23" s="30"/>
      <c r="D23" s="30"/>
      <c r="E23" s="30"/>
      <c r="F23" s="30"/>
      <c r="G23" s="30"/>
      <c r="H23" s="32"/>
      <c r="I23" s="32"/>
      <c r="J23" s="14"/>
      <c r="K23" s="12"/>
      <c r="L23" s="12"/>
      <c r="M23" s="30"/>
      <c r="N23" s="12"/>
      <c r="O23" s="52"/>
      <c r="P23" s="30"/>
    </row>
    <row r="24" spans="1:16" s="5" customFormat="1" x14ac:dyDescent="0.3">
      <c r="A24" s="16">
        <v>11.14</v>
      </c>
      <c r="B24" s="5" t="s">
        <v>5</v>
      </c>
      <c r="C24" s="30"/>
      <c r="D24" s="30"/>
      <c r="E24" s="30"/>
      <c r="F24" s="30"/>
      <c r="G24" s="30"/>
      <c r="H24" s="30"/>
      <c r="I24" s="30"/>
      <c r="J24" s="12"/>
      <c r="K24" s="12"/>
      <c r="L24" s="12"/>
      <c r="M24" s="28"/>
      <c r="N24" s="8"/>
      <c r="O24" s="50"/>
      <c r="P24" s="28"/>
    </row>
    <row r="25" spans="1:16" s="63" customFormat="1" x14ac:dyDescent="0.3">
      <c r="A25" s="62" t="s">
        <v>6</v>
      </c>
      <c r="B25" s="63" t="s">
        <v>7</v>
      </c>
      <c r="C25" s="64"/>
      <c r="D25" s="64">
        <v>3394.35</v>
      </c>
      <c r="E25" s="64"/>
      <c r="F25" s="64"/>
      <c r="G25" s="64">
        <v>3509.65</v>
      </c>
      <c r="H25" s="64"/>
      <c r="I25" s="64"/>
      <c r="J25" s="64"/>
      <c r="K25" s="64">
        <v>3324.51</v>
      </c>
      <c r="L25" s="64"/>
      <c r="M25" s="66">
        <v>3324</v>
      </c>
      <c r="N25" s="64">
        <v>3649.74</v>
      </c>
      <c r="O25" s="69"/>
      <c r="P25" s="64">
        <v>3300</v>
      </c>
    </row>
    <row r="26" spans="1:16" s="63" customFormat="1" x14ac:dyDescent="0.3">
      <c r="A26" s="62" t="s">
        <v>8</v>
      </c>
      <c r="B26" s="63" t="s">
        <v>9</v>
      </c>
      <c r="C26" s="64"/>
      <c r="D26" s="64"/>
      <c r="E26" s="64"/>
      <c r="F26" s="64"/>
      <c r="G26" s="64">
        <f>85+100+100+10+50+47.98+300+275+200+150</f>
        <v>1317.98</v>
      </c>
      <c r="H26" s="64"/>
      <c r="I26" s="64"/>
      <c r="J26" s="64"/>
      <c r="K26" s="64">
        <v>680.25</v>
      </c>
      <c r="L26" s="64"/>
      <c r="M26" s="64"/>
      <c r="N26" s="64">
        <v>1129.96</v>
      </c>
      <c r="O26" s="69"/>
      <c r="P26" s="64">
        <v>1000</v>
      </c>
    </row>
    <row r="27" spans="1:16" s="60" customFormat="1" x14ac:dyDescent="0.3">
      <c r="B27" s="28" t="s">
        <v>10</v>
      </c>
      <c r="C27" s="28">
        <v>6318</v>
      </c>
      <c r="D27" s="28">
        <v>3394</v>
      </c>
      <c r="E27" s="28">
        <v>3487</v>
      </c>
      <c r="F27" s="28">
        <v>4793</v>
      </c>
      <c r="G27" s="28">
        <f t="shared" ref="G27:H27" si="0">SUM(G25:G26)</f>
        <v>4827.63</v>
      </c>
      <c r="H27" s="28">
        <f t="shared" si="0"/>
        <v>0</v>
      </c>
      <c r="I27" s="28"/>
      <c r="J27" s="28"/>
      <c r="K27" s="28">
        <f>SUM(K25:K26)</f>
        <v>4004.76</v>
      </c>
      <c r="L27" s="28"/>
      <c r="M27" s="28">
        <f t="shared" ref="M27:P27" si="1">SUM(M25:M26)</f>
        <v>3324</v>
      </c>
      <c r="N27" s="28">
        <f t="shared" si="1"/>
        <v>4779.7</v>
      </c>
      <c r="O27" s="58"/>
      <c r="P27" s="28">
        <f t="shared" si="1"/>
        <v>4300</v>
      </c>
    </row>
    <row r="28" spans="1:16" s="60" customFormat="1" x14ac:dyDescent="0.3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58"/>
      <c r="P28" s="28"/>
    </row>
    <row r="29" spans="1:16" s="1" customFormat="1" x14ac:dyDescent="0.3">
      <c r="A29" s="16">
        <v>11.15</v>
      </c>
      <c r="B29" s="5" t="s">
        <v>11</v>
      </c>
      <c r="C29" s="30"/>
      <c r="D29" s="30"/>
      <c r="E29" s="30"/>
      <c r="F29" s="30"/>
      <c r="G29" s="30"/>
      <c r="H29" s="30"/>
      <c r="I29" s="30"/>
      <c r="J29" s="12"/>
      <c r="K29" s="12">
        <v>0</v>
      </c>
      <c r="L29" s="12"/>
      <c r="M29" s="28"/>
      <c r="N29" s="8"/>
      <c r="O29" s="53"/>
      <c r="P29" s="28"/>
    </row>
    <row r="30" spans="1:16" s="71" customFormat="1" x14ac:dyDescent="0.3">
      <c r="A30" s="62" t="s">
        <v>12</v>
      </c>
      <c r="B30" s="63" t="s">
        <v>13</v>
      </c>
      <c r="C30" s="64"/>
      <c r="D30" s="64">
        <v>15</v>
      </c>
      <c r="E30" s="64"/>
      <c r="F30" s="64"/>
      <c r="G30" s="64">
        <v>270.75</v>
      </c>
      <c r="H30" s="64"/>
      <c r="I30" s="65"/>
      <c r="J30" s="64"/>
      <c r="K30" s="64"/>
      <c r="L30" s="64"/>
      <c r="M30" s="65"/>
      <c r="N30" s="64"/>
      <c r="O30" s="70"/>
      <c r="P30" s="65"/>
    </row>
    <row r="31" spans="1:16" s="71" customFormat="1" x14ac:dyDescent="0.3">
      <c r="A31" s="62" t="s">
        <v>219</v>
      </c>
      <c r="B31" s="63" t="s">
        <v>218</v>
      </c>
      <c r="C31" s="64"/>
      <c r="D31" s="64"/>
      <c r="E31" s="64"/>
      <c r="F31" s="64"/>
      <c r="G31" s="64">
        <v>85</v>
      </c>
      <c r="H31" s="64"/>
      <c r="I31" s="65"/>
      <c r="J31" s="64"/>
      <c r="K31" s="64"/>
      <c r="L31" s="64"/>
      <c r="M31" s="65"/>
      <c r="N31" s="64"/>
      <c r="O31" s="70"/>
      <c r="P31" s="65"/>
    </row>
    <row r="32" spans="1:16" s="2" customFormat="1" x14ac:dyDescent="0.3">
      <c r="A32" s="17"/>
      <c r="B32" s="4" t="s">
        <v>14</v>
      </c>
      <c r="C32" s="46">
        <v>925</v>
      </c>
      <c r="D32" s="47">
        <v>515</v>
      </c>
      <c r="E32" s="38">
        <v>670</v>
      </c>
      <c r="F32" s="38">
        <v>0</v>
      </c>
      <c r="G32" s="28">
        <f>SUM(G30:G31)</f>
        <v>355.75</v>
      </c>
      <c r="H32" s="28">
        <v>375</v>
      </c>
      <c r="I32" s="28"/>
      <c r="J32" s="8"/>
      <c r="K32" s="12">
        <f>K30</f>
        <v>0</v>
      </c>
      <c r="L32" s="12"/>
      <c r="M32" s="30">
        <f t="shared" ref="M32:N32" si="2">M30</f>
        <v>0</v>
      </c>
      <c r="N32" s="12">
        <f t="shared" si="2"/>
        <v>0</v>
      </c>
      <c r="O32" s="54"/>
      <c r="P32" s="30"/>
    </row>
    <row r="33" spans="1:16" s="2" customFormat="1" x14ac:dyDescent="0.3">
      <c r="A33" s="17"/>
      <c r="B33" s="4"/>
      <c r="C33" s="46"/>
      <c r="D33" s="47"/>
      <c r="E33" s="38"/>
      <c r="F33" s="38"/>
      <c r="G33" s="28"/>
      <c r="H33" s="28"/>
      <c r="I33" s="28"/>
      <c r="J33" s="8"/>
      <c r="K33" s="12"/>
      <c r="L33" s="12"/>
      <c r="M33" s="30"/>
      <c r="N33" s="12"/>
      <c r="O33" s="54"/>
      <c r="P33" s="30"/>
    </row>
    <row r="34" spans="1:16" s="2" customFormat="1" x14ac:dyDescent="0.3">
      <c r="A34" s="16">
        <v>11.16</v>
      </c>
      <c r="B34" s="5" t="s">
        <v>15</v>
      </c>
      <c r="C34" s="36"/>
      <c r="D34" s="36"/>
      <c r="E34" s="36"/>
      <c r="F34" s="36"/>
      <c r="G34" s="30"/>
      <c r="H34" s="30"/>
      <c r="I34" s="30"/>
      <c r="J34" s="12"/>
      <c r="L34" s="12"/>
      <c r="M34" s="30"/>
      <c r="N34" s="12"/>
      <c r="O34" s="54"/>
      <c r="P34" s="30"/>
    </row>
    <row r="35" spans="1:16" s="71" customFormat="1" x14ac:dyDescent="0.3">
      <c r="A35" s="62" t="s">
        <v>16</v>
      </c>
      <c r="B35" s="63" t="s">
        <v>17</v>
      </c>
      <c r="C35" s="64">
        <v>8.74</v>
      </c>
      <c r="D35" s="64">
        <v>8.74</v>
      </c>
      <c r="E35" s="64">
        <v>8</v>
      </c>
      <c r="F35" s="64">
        <v>16</v>
      </c>
      <c r="G35" s="64">
        <v>24.72</v>
      </c>
      <c r="H35" s="64"/>
      <c r="I35" s="64"/>
      <c r="J35" s="64"/>
      <c r="K35" s="64"/>
      <c r="L35" s="64"/>
      <c r="M35" s="64"/>
      <c r="N35" s="64">
        <v>121.45</v>
      </c>
      <c r="O35" s="72"/>
      <c r="P35" s="64">
        <v>75</v>
      </c>
    </row>
    <row r="36" spans="1:16" s="71" customFormat="1" x14ac:dyDescent="0.3">
      <c r="A36" s="62" t="s">
        <v>18</v>
      </c>
      <c r="B36" s="63" t="s">
        <v>80</v>
      </c>
      <c r="C36" s="73"/>
      <c r="D36" s="73"/>
      <c r="E36" s="73"/>
      <c r="F36" s="73"/>
      <c r="G36" s="64"/>
      <c r="H36" s="64"/>
      <c r="I36" s="64"/>
      <c r="J36" s="64"/>
      <c r="K36" s="64"/>
      <c r="L36" s="64"/>
      <c r="M36" s="64"/>
      <c r="N36" s="64">
        <v>1.33</v>
      </c>
      <c r="O36" s="72"/>
      <c r="P36" s="64">
        <v>1</v>
      </c>
    </row>
    <row r="37" spans="1:16" s="71" customFormat="1" x14ac:dyDescent="0.3">
      <c r="A37" s="62" t="s">
        <v>19</v>
      </c>
      <c r="B37" s="63" t="s">
        <v>20</v>
      </c>
      <c r="C37" s="73"/>
      <c r="D37" s="73"/>
      <c r="E37" s="73"/>
      <c r="F37" s="73"/>
      <c r="G37" s="64"/>
      <c r="H37" s="64"/>
      <c r="I37" s="64"/>
      <c r="J37" s="64"/>
      <c r="K37" s="64"/>
      <c r="L37" s="64"/>
      <c r="M37" s="64"/>
      <c r="N37" s="64">
        <v>0.41</v>
      </c>
      <c r="O37" s="72"/>
      <c r="P37" s="64"/>
    </row>
    <row r="38" spans="1:16" s="2" customFormat="1" x14ac:dyDescent="0.3">
      <c r="A38" s="17"/>
      <c r="B38" s="6" t="s">
        <v>21</v>
      </c>
      <c r="C38" s="38">
        <f t="shared" ref="C38:E38" si="3">SUM(C35:C37)</f>
        <v>8.74</v>
      </c>
      <c r="D38" s="38">
        <f t="shared" si="3"/>
        <v>8.74</v>
      </c>
      <c r="E38" s="38">
        <f t="shared" si="3"/>
        <v>8</v>
      </c>
      <c r="F38" s="38">
        <f>SUM(F35:F37)</f>
        <v>16</v>
      </c>
      <c r="G38" s="28">
        <v>24.72</v>
      </c>
      <c r="H38" s="28">
        <v>56</v>
      </c>
      <c r="I38" s="28"/>
      <c r="J38" s="8"/>
      <c r="K38" s="28">
        <v>295.77</v>
      </c>
      <c r="L38" s="12"/>
      <c r="M38" s="28">
        <f>SUM(M35:M37)</f>
        <v>0</v>
      </c>
      <c r="N38" s="28">
        <f>SUM(N35:N37)</f>
        <v>123.19</v>
      </c>
      <c r="O38" s="58">
        <f>SUM(C38:K38)/7</f>
        <v>59.709999999999994</v>
      </c>
      <c r="P38" s="28">
        <f>SUM(P35:P37)</f>
        <v>76</v>
      </c>
    </row>
    <row r="39" spans="1:16" s="2" customFormat="1" x14ac:dyDescent="0.3">
      <c r="A39" s="17"/>
      <c r="B39" s="6"/>
      <c r="C39" s="38"/>
      <c r="D39" s="38"/>
      <c r="E39" s="38"/>
      <c r="F39" s="38"/>
      <c r="G39" s="28"/>
      <c r="H39" s="28"/>
      <c r="I39" s="28"/>
      <c r="J39" s="8"/>
      <c r="K39" s="28"/>
      <c r="L39" s="12"/>
      <c r="M39" s="28"/>
      <c r="N39" s="28"/>
      <c r="O39" s="58"/>
      <c r="P39" s="28"/>
    </row>
    <row r="40" spans="1:16" s="2" customFormat="1" x14ac:dyDescent="0.3">
      <c r="A40" s="16">
        <v>11.17</v>
      </c>
      <c r="B40" s="5" t="s">
        <v>22</v>
      </c>
      <c r="C40" s="36"/>
      <c r="D40" s="36"/>
      <c r="E40" s="36"/>
      <c r="F40" s="36"/>
      <c r="H40" s="30"/>
      <c r="I40" s="30"/>
      <c r="J40" s="12"/>
      <c r="K40" s="12"/>
      <c r="L40" s="12"/>
      <c r="M40" s="30"/>
      <c r="N40" s="12"/>
      <c r="O40" s="55"/>
      <c r="P40" s="30"/>
    </row>
    <row r="41" spans="1:16" s="71" customFormat="1" x14ac:dyDescent="0.3">
      <c r="A41" s="62" t="s">
        <v>23</v>
      </c>
      <c r="B41" s="63" t="s">
        <v>24</v>
      </c>
      <c r="C41" s="73"/>
      <c r="D41" s="73"/>
      <c r="E41" s="73"/>
      <c r="F41" s="73"/>
      <c r="G41" s="64"/>
      <c r="H41" s="64"/>
      <c r="I41" s="64"/>
      <c r="J41" s="64"/>
      <c r="K41" s="64"/>
      <c r="L41" s="64"/>
      <c r="M41" s="64"/>
      <c r="N41" s="64"/>
      <c r="O41" s="72"/>
      <c r="P41" s="64">
        <v>225</v>
      </c>
    </row>
    <row r="42" spans="1:16" s="71" customFormat="1" x14ac:dyDescent="0.3">
      <c r="A42" s="62" t="s">
        <v>25</v>
      </c>
      <c r="B42" s="63" t="s">
        <v>26</v>
      </c>
      <c r="C42" s="73"/>
      <c r="D42" s="73"/>
      <c r="E42" s="73"/>
      <c r="F42" s="73"/>
      <c r="G42" s="64"/>
      <c r="H42" s="64"/>
      <c r="I42" s="64"/>
      <c r="J42" s="64"/>
      <c r="K42" s="64"/>
      <c r="L42" s="64"/>
      <c r="M42" s="64"/>
      <c r="N42" s="64">
        <v>57</v>
      </c>
      <c r="O42" s="72"/>
      <c r="P42" s="64">
        <v>0</v>
      </c>
    </row>
    <row r="43" spans="1:16" s="71" customFormat="1" x14ac:dyDescent="0.3">
      <c r="A43" s="62" t="s">
        <v>27</v>
      </c>
      <c r="B43" s="63" t="s">
        <v>28</v>
      </c>
      <c r="C43" s="73"/>
      <c r="D43" s="73"/>
      <c r="E43" s="73"/>
      <c r="F43" s="73"/>
      <c r="G43" s="64"/>
      <c r="H43" s="64"/>
      <c r="I43" s="64"/>
      <c r="J43" s="64"/>
      <c r="K43" s="64"/>
      <c r="L43" s="64"/>
      <c r="M43" s="64"/>
      <c r="N43" s="64"/>
      <c r="O43" s="72"/>
      <c r="P43" s="64">
        <v>0</v>
      </c>
    </row>
    <row r="44" spans="1:16" s="2" customFormat="1" x14ac:dyDescent="0.3">
      <c r="A44" s="17"/>
      <c r="B44" s="4" t="s">
        <v>29</v>
      </c>
      <c r="C44" s="28">
        <v>924</v>
      </c>
      <c r="D44" s="28">
        <v>774</v>
      </c>
      <c r="E44" s="28">
        <v>386</v>
      </c>
      <c r="F44" s="28">
        <v>162</v>
      </c>
      <c r="G44" s="28">
        <v>536</v>
      </c>
      <c r="H44" s="28">
        <v>268</v>
      </c>
      <c r="I44" s="28"/>
      <c r="J44" s="8"/>
      <c r="K44" s="28">
        <v>622.6</v>
      </c>
      <c r="L44" s="12"/>
      <c r="M44" s="28">
        <f>SUM(M41:M43)</f>
        <v>0</v>
      </c>
      <c r="N44" s="28">
        <f>SUM(N41:N43)</f>
        <v>57</v>
      </c>
      <c r="O44" s="58">
        <f>(SUM(D44:K44)-J44)/6</f>
        <v>458.09999999999997</v>
      </c>
      <c r="P44" s="58">
        <f>SUM(P41:P43)</f>
        <v>225</v>
      </c>
    </row>
    <row r="45" spans="1:16" s="2" customFormat="1" x14ac:dyDescent="0.3">
      <c r="A45" s="17"/>
      <c r="B45" s="4"/>
      <c r="C45" s="28"/>
      <c r="D45" s="28"/>
      <c r="E45" s="28"/>
      <c r="F45" s="28"/>
      <c r="G45" s="28"/>
      <c r="H45" s="28"/>
      <c r="I45" s="28"/>
      <c r="J45" s="8"/>
      <c r="K45" s="28"/>
      <c r="L45" s="12"/>
      <c r="M45" s="28"/>
      <c r="N45" s="28"/>
      <c r="O45" s="58"/>
      <c r="P45" s="58"/>
    </row>
    <row r="46" spans="1:16" s="2" customFormat="1" x14ac:dyDescent="0.3">
      <c r="A46" s="16" t="s">
        <v>40</v>
      </c>
      <c r="B46" s="5" t="s">
        <v>249</v>
      </c>
      <c r="C46" s="36"/>
      <c r="D46" s="38">
        <v>190.12</v>
      </c>
      <c r="E46" s="36"/>
      <c r="F46" s="38">
        <v>3552</v>
      </c>
      <c r="G46" s="28">
        <v>0</v>
      </c>
      <c r="H46" s="28">
        <v>0</v>
      </c>
      <c r="I46" s="28"/>
      <c r="J46" s="12"/>
      <c r="K46" s="12"/>
      <c r="L46" s="12"/>
      <c r="M46" s="30"/>
      <c r="N46" s="12"/>
      <c r="O46" s="54"/>
    </row>
    <row r="47" spans="1:16" s="2" customFormat="1" x14ac:dyDescent="0.3">
      <c r="A47" s="62" t="s">
        <v>250</v>
      </c>
      <c r="B47" s="63" t="s">
        <v>251</v>
      </c>
      <c r="C47" s="36"/>
      <c r="D47" s="38"/>
      <c r="E47" s="36"/>
      <c r="F47" s="38"/>
      <c r="G47" s="28"/>
      <c r="H47" s="28"/>
      <c r="I47" s="28"/>
      <c r="J47" s="12"/>
      <c r="K47" s="12"/>
      <c r="L47" s="12"/>
      <c r="M47" s="30"/>
      <c r="N47" s="12"/>
      <c r="O47" s="54"/>
      <c r="P47" s="12">
        <f>43456</f>
        <v>43456</v>
      </c>
    </row>
    <row r="48" spans="1:16" s="2" customFormat="1" x14ac:dyDescent="0.3">
      <c r="A48" s="16"/>
      <c r="B48" s="4" t="s">
        <v>252</v>
      </c>
      <c r="C48" s="36"/>
      <c r="D48" s="38"/>
      <c r="E48" s="36"/>
      <c r="F48" s="38"/>
      <c r="G48" s="28"/>
      <c r="H48" s="28"/>
      <c r="I48" s="28"/>
      <c r="J48" s="12"/>
      <c r="K48" s="12"/>
      <c r="L48" s="12"/>
      <c r="M48" s="30"/>
      <c r="N48" s="12"/>
      <c r="O48" s="54"/>
      <c r="P48" s="28">
        <f>P47</f>
        <v>43456</v>
      </c>
    </row>
    <row r="49" spans="1:18" s="2" customFormat="1" x14ac:dyDescent="0.3">
      <c r="A49" s="16"/>
      <c r="B49" s="5"/>
      <c r="C49" s="36"/>
      <c r="D49" s="38"/>
      <c r="E49" s="36"/>
      <c r="F49" s="38"/>
      <c r="G49" s="28"/>
      <c r="H49" s="28"/>
      <c r="I49" s="28"/>
      <c r="J49" s="12"/>
      <c r="K49" s="12"/>
      <c r="L49" s="12"/>
      <c r="M49" s="30"/>
      <c r="N49" s="12"/>
      <c r="O49" s="54"/>
      <c r="P49" s="30"/>
    </row>
    <row r="50" spans="1:18" s="1" customFormat="1" x14ac:dyDescent="0.3">
      <c r="A50" s="39"/>
      <c r="B50" s="40" t="s">
        <v>0</v>
      </c>
      <c r="C50" s="41">
        <f>SUM(C3:C24)+C27+C32+C38+C44+C46</f>
        <v>76218.740000000005</v>
      </c>
      <c r="D50" s="41">
        <f>SUM(D3:D24)+D27+D32+D38+D44+D46</f>
        <v>85292.34</v>
      </c>
      <c r="E50" s="41">
        <f>SUM(E3:E24)+E27+E32+E38+E44+E46</f>
        <v>155611</v>
      </c>
      <c r="F50" s="41">
        <f>SUM(F3:F24)+F27+F32+F38+F44+F46</f>
        <v>163238</v>
      </c>
      <c r="G50" s="41">
        <f>SUM(G3:G24)+G27+G32+G38+G44+G46</f>
        <v>182364.1</v>
      </c>
      <c r="H50" s="41">
        <f>SUM(H3:H22)+H27+H32+H38+H44</f>
        <v>174968</v>
      </c>
      <c r="I50" s="41"/>
      <c r="J50" s="77"/>
      <c r="K50" s="78">
        <f>SUM(K3:K8)+K14+K16+K18+K20+K22+K27+K32+K38+K44+K46</f>
        <v>173418.13</v>
      </c>
      <c r="L50" s="77"/>
      <c r="M50" s="78">
        <f>M3+M5+M6+M7+M8+M14+M16+M18+M20+M22+M27+M32+M38+M44</f>
        <v>214700</v>
      </c>
      <c r="N50" s="78">
        <f>N3+N5+N6+N7+N8+N14+N16+N18+N20+N22+N27+N32+N38+N44</f>
        <v>49935.89</v>
      </c>
      <c r="O50" s="78">
        <f>SUM(O3:O25)+O27+O32+O38+O44</f>
        <v>517.80999999999995</v>
      </c>
      <c r="P50" s="78">
        <f>P3+P5+P6+P7+P8+P14+P16+P18+P20+P22+P27+P32+P38+P44+P48</f>
        <v>216631</v>
      </c>
      <c r="R50" s="79"/>
    </row>
    <row r="51" spans="1:18" x14ac:dyDescent="0.3">
      <c r="F51" s="31"/>
      <c r="L51" s="13"/>
    </row>
    <row r="52" spans="1:18" x14ac:dyDescent="0.3">
      <c r="B52" s="3" t="s">
        <v>82</v>
      </c>
      <c r="F52" s="31"/>
      <c r="L52" s="13"/>
    </row>
    <row r="53" spans="1:18" x14ac:dyDescent="0.3">
      <c r="A53" s="19" t="s">
        <v>51</v>
      </c>
      <c r="B53" s="1" t="s">
        <v>52</v>
      </c>
      <c r="D53" s="31"/>
      <c r="F53" s="31"/>
      <c r="L53" s="13"/>
    </row>
    <row r="54" spans="1:18" s="71" customFormat="1" x14ac:dyDescent="0.3">
      <c r="A54" s="62" t="s">
        <v>54</v>
      </c>
      <c r="B54" s="63" t="s">
        <v>53</v>
      </c>
      <c r="C54" s="64"/>
      <c r="D54" s="64">
        <v>21451.84</v>
      </c>
      <c r="E54" s="64">
        <f>22459.48+6153.85</f>
        <v>28613.33</v>
      </c>
      <c r="F54" s="64">
        <v>32000.02</v>
      </c>
      <c r="G54" s="64">
        <v>32886.339999999997</v>
      </c>
      <c r="H54" s="64">
        <v>34287.4</v>
      </c>
      <c r="I54" s="65"/>
      <c r="J54" s="64">
        <v>38000</v>
      </c>
      <c r="K54" s="64">
        <v>36664.92</v>
      </c>
      <c r="L54" s="64"/>
      <c r="M54" s="64">
        <v>37500</v>
      </c>
      <c r="N54" s="64">
        <v>22961.05</v>
      </c>
      <c r="O54" s="72"/>
      <c r="P54" s="64">
        <v>30000</v>
      </c>
    </row>
    <row r="55" spans="1:18" s="71" customFormat="1" x14ac:dyDescent="0.3">
      <c r="A55" s="62" t="s">
        <v>55</v>
      </c>
      <c r="B55" s="63" t="s">
        <v>56</v>
      </c>
      <c r="C55" s="64"/>
      <c r="D55" s="64"/>
      <c r="E55" s="64">
        <v>5094.6000000000004</v>
      </c>
      <c r="F55" s="64">
        <v>19975.400000000001</v>
      </c>
      <c r="G55" s="64">
        <v>19218.5</v>
      </c>
      <c r="H55" s="64">
        <v>17726.8</v>
      </c>
      <c r="I55" s="65"/>
      <c r="J55" s="64">
        <v>25000</v>
      </c>
      <c r="K55" s="64">
        <v>17010.060000000001</v>
      </c>
      <c r="L55" s="64"/>
      <c r="M55" s="64">
        <v>26500</v>
      </c>
      <c r="N55" s="64">
        <v>12722.15</v>
      </c>
      <c r="O55" s="72"/>
      <c r="P55" s="64">
        <v>18000</v>
      </c>
    </row>
    <row r="56" spans="1:18" s="71" customFormat="1" x14ac:dyDescent="0.3">
      <c r="A56" s="62" t="s">
        <v>57</v>
      </c>
      <c r="B56" s="63" t="s">
        <v>58</v>
      </c>
      <c r="C56" s="64"/>
      <c r="D56" s="64">
        <v>6420.87</v>
      </c>
      <c r="E56" s="64">
        <v>8608</v>
      </c>
      <c r="F56" s="64">
        <v>9272.98</v>
      </c>
      <c r="G56" s="64">
        <v>8852.69</v>
      </c>
      <c r="H56" s="64">
        <v>9913.93</v>
      </c>
      <c r="I56" s="65"/>
      <c r="J56" s="64">
        <v>13000</v>
      </c>
      <c r="K56" s="64">
        <v>9982.08</v>
      </c>
      <c r="L56" s="64"/>
      <c r="M56" s="64">
        <v>20610</v>
      </c>
      <c r="N56" s="64">
        <v>5285.54</v>
      </c>
      <c r="O56" s="72"/>
      <c r="P56" s="64">
        <v>0</v>
      </c>
    </row>
    <row r="57" spans="1:18" s="71" customFormat="1" x14ac:dyDescent="0.3">
      <c r="A57" s="62" t="s">
        <v>59</v>
      </c>
      <c r="B57" s="63" t="s">
        <v>60</v>
      </c>
      <c r="C57" s="64"/>
      <c r="D57" s="64"/>
      <c r="E57" s="64"/>
      <c r="F57" s="64"/>
      <c r="G57" s="64"/>
      <c r="H57" s="64"/>
      <c r="I57" s="65"/>
      <c r="J57" s="64"/>
      <c r="K57" s="64">
        <v>2133.98</v>
      </c>
      <c r="L57" s="64"/>
      <c r="M57" s="64"/>
      <c r="N57" s="64">
        <v>749.3</v>
      </c>
      <c r="O57" s="72"/>
      <c r="P57" s="64">
        <v>13000</v>
      </c>
    </row>
    <row r="58" spans="1:18" s="71" customFormat="1" x14ac:dyDescent="0.3">
      <c r="A58" s="62" t="s">
        <v>61</v>
      </c>
      <c r="B58" s="63" t="s">
        <v>62</v>
      </c>
      <c r="C58" s="64"/>
      <c r="D58" s="64">
        <v>332</v>
      </c>
      <c r="E58" s="64">
        <v>615</v>
      </c>
      <c r="F58" s="64">
        <v>622.5</v>
      </c>
      <c r="G58" s="64">
        <v>647.5</v>
      </c>
      <c r="H58" s="64">
        <v>566.79999999999995</v>
      </c>
      <c r="I58" s="65"/>
      <c r="J58" s="64">
        <v>2000</v>
      </c>
      <c r="K58" s="64">
        <v>1061.9100000000001</v>
      </c>
      <c r="L58" s="64"/>
      <c r="M58" s="64">
        <v>1440</v>
      </c>
      <c r="N58" s="64">
        <v>1351.38</v>
      </c>
      <c r="O58" s="72"/>
      <c r="P58" s="64">
        <v>3900</v>
      </c>
    </row>
    <row r="59" spans="1:18" s="71" customFormat="1" x14ac:dyDescent="0.3">
      <c r="A59" s="62" t="s">
        <v>63</v>
      </c>
      <c r="B59" s="63" t="s">
        <v>64</v>
      </c>
      <c r="C59" s="64"/>
      <c r="D59" s="64">
        <f>3558.4+4840.76-1783.08</f>
        <v>6616.08</v>
      </c>
      <c r="E59" s="64">
        <f>3689.8+4341.49-51.99</f>
        <v>7979.3</v>
      </c>
      <c r="F59" s="64">
        <v>410.38</v>
      </c>
      <c r="G59" s="73">
        <v>397.7</v>
      </c>
      <c r="H59" s="73">
        <v>135.19999999999999</v>
      </c>
      <c r="I59" s="65"/>
      <c r="J59" s="64">
        <v>2000</v>
      </c>
      <c r="K59" s="64">
        <v>896.33</v>
      </c>
      <c r="L59" s="64"/>
      <c r="M59" s="64">
        <v>1440</v>
      </c>
      <c r="N59" s="64">
        <v>643.1</v>
      </c>
      <c r="O59" s="72"/>
      <c r="P59" s="64">
        <v>3900</v>
      </c>
    </row>
    <row r="60" spans="1:18" s="71" customFormat="1" x14ac:dyDescent="0.3">
      <c r="A60" s="62" t="s">
        <v>220</v>
      </c>
      <c r="B60" s="63" t="s">
        <v>221</v>
      </c>
      <c r="C60" s="64"/>
      <c r="D60" s="64"/>
      <c r="E60" s="64"/>
      <c r="F60" s="64"/>
      <c r="G60" s="73"/>
      <c r="H60" s="73"/>
      <c r="I60" s="65"/>
      <c r="J60" s="64"/>
      <c r="K60" s="64"/>
      <c r="L60" s="64"/>
      <c r="M60" s="64"/>
      <c r="N60" s="64">
        <v>3846.15</v>
      </c>
      <c r="O60" s="72"/>
      <c r="P60" s="64">
        <v>20000</v>
      </c>
    </row>
    <row r="61" spans="1:18" s="71" customFormat="1" x14ac:dyDescent="0.3">
      <c r="A61" s="62" t="s">
        <v>220</v>
      </c>
      <c r="B61" s="63" t="s">
        <v>246</v>
      </c>
      <c r="C61" s="64"/>
      <c r="D61" s="64"/>
      <c r="E61" s="64"/>
      <c r="F61" s="64"/>
      <c r="G61" s="73"/>
      <c r="H61" s="73"/>
      <c r="I61" s="65"/>
      <c r="J61" s="64"/>
      <c r="K61" s="64"/>
      <c r="L61" s="64"/>
      <c r="M61" s="64"/>
      <c r="N61" s="64">
        <v>1303.9000000000001</v>
      </c>
      <c r="O61" s="72"/>
      <c r="P61" s="64"/>
    </row>
    <row r="62" spans="1:18" s="1" customFormat="1" x14ac:dyDescent="0.3">
      <c r="A62" s="19"/>
      <c r="B62" s="6" t="s">
        <v>65</v>
      </c>
      <c r="C62" s="28">
        <v>28781</v>
      </c>
      <c r="D62" s="8">
        <f t="shared" ref="D62:G62" si="4">SUM(D54:D60)</f>
        <v>34820.79</v>
      </c>
      <c r="E62" s="8">
        <f t="shared" si="4"/>
        <v>50910.23</v>
      </c>
      <c r="F62" s="8">
        <f t="shared" si="4"/>
        <v>62281.279999999992</v>
      </c>
      <c r="G62" s="8">
        <f t="shared" si="4"/>
        <v>62002.729999999996</v>
      </c>
      <c r="H62" s="8">
        <f>SUM(H54:H60)</f>
        <v>62630.13</v>
      </c>
      <c r="I62" s="28"/>
      <c r="J62" s="8">
        <f>SUM(J54:J60)</f>
        <v>80000</v>
      </c>
      <c r="K62" s="8">
        <f>SUM(K54:K60)</f>
        <v>67749.279999999999</v>
      </c>
      <c r="L62" s="8"/>
      <c r="M62" s="29">
        <f>SUM(M54:M60)</f>
        <v>87490</v>
      </c>
      <c r="N62" s="29">
        <f>SUM(N54:N61)</f>
        <v>48862.57</v>
      </c>
      <c r="O62" s="53"/>
      <c r="P62" s="8">
        <f>SUM(P54:P60)</f>
        <v>88800</v>
      </c>
    </row>
    <row r="63" spans="1:18" s="1" customFormat="1" x14ac:dyDescent="0.3">
      <c r="A63" s="19"/>
      <c r="B63" s="6"/>
      <c r="C63" s="28"/>
      <c r="D63" s="8"/>
      <c r="E63" s="8"/>
      <c r="F63" s="8"/>
      <c r="G63" s="8"/>
      <c r="H63" s="8"/>
      <c r="I63" s="28"/>
      <c r="J63" s="8"/>
      <c r="K63" s="8"/>
      <c r="L63" s="8"/>
      <c r="M63" s="29"/>
      <c r="N63" s="29"/>
      <c r="O63" s="53"/>
      <c r="P63" s="8"/>
    </row>
    <row r="64" spans="1:18" s="2" customFormat="1" x14ac:dyDescent="0.3">
      <c r="A64" s="19" t="s">
        <v>68</v>
      </c>
      <c r="B64" s="11" t="s">
        <v>69</v>
      </c>
      <c r="C64" s="30"/>
      <c r="D64" s="30"/>
      <c r="E64" s="30"/>
      <c r="F64" s="30"/>
      <c r="G64" s="45"/>
      <c r="H64" s="45"/>
      <c r="I64" s="30"/>
      <c r="J64" s="12"/>
      <c r="K64" s="12"/>
      <c r="L64" s="12"/>
      <c r="M64" s="30"/>
      <c r="N64" s="12"/>
      <c r="O64" s="54"/>
      <c r="P64" s="30"/>
    </row>
    <row r="65" spans="1:16" s="71" customFormat="1" x14ac:dyDescent="0.3">
      <c r="A65" s="62" t="s">
        <v>70</v>
      </c>
      <c r="B65" s="63" t="s">
        <v>71</v>
      </c>
      <c r="C65" s="64"/>
      <c r="D65" s="64"/>
      <c r="E65" s="64"/>
      <c r="F65" s="64"/>
      <c r="G65" s="65">
        <f t="shared" ref="G65:H65" si="5">G62*6.2%</f>
        <v>3844.1692599999997</v>
      </c>
      <c r="H65" s="65">
        <f t="shared" si="5"/>
        <v>3883.0680599999996</v>
      </c>
      <c r="I65" s="65"/>
      <c r="J65" s="64">
        <v>4960</v>
      </c>
      <c r="K65" s="64">
        <v>10726.96</v>
      </c>
      <c r="L65" s="64"/>
      <c r="M65" s="64">
        <v>6695</v>
      </c>
      <c r="N65" s="64">
        <v>3738.01</v>
      </c>
      <c r="O65" s="70"/>
      <c r="P65" s="64">
        <f>6.2%*P62</f>
        <v>5505.6</v>
      </c>
    </row>
    <row r="66" spans="1:16" s="71" customFormat="1" x14ac:dyDescent="0.3">
      <c r="A66" s="62" t="s">
        <v>72</v>
      </c>
      <c r="B66" s="63" t="s">
        <v>73</v>
      </c>
      <c r="C66" s="64"/>
      <c r="D66" s="64"/>
      <c r="E66" s="64"/>
      <c r="F66" s="64"/>
      <c r="G66" s="65">
        <f t="shared" ref="G66:H66" si="6">G62*1.45%</f>
        <v>899.03958499999987</v>
      </c>
      <c r="H66" s="65">
        <f t="shared" si="6"/>
        <v>908.13688499999989</v>
      </c>
      <c r="I66" s="65"/>
      <c r="J66" s="64"/>
      <c r="K66" s="64"/>
      <c r="L66" s="64"/>
      <c r="M66" s="64">
        <v>1140</v>
      </c>
      <c r="N66" s="64"/>
      <c r="O66" s="70"/>
      <c r="P66" s="64">
        <f>1.45%*P62</f>
        <v>1287.5999999999999</v>
      </c>
    </row>
    <row r="67" spans="1:16" s="71" customFormat="1" x14ac:dyDescent="0.3">
      <c r="A67" s="62" t="s">
        <v>74</v>
      </c>
      <c r="B67" s="63" t="s">
        <v>75</v>
      </c>
      <c r="C67" s="64"/>
      <c r="D67" s="64"/>
      <c r="E67" s="64"/>
      <c r="F67" s="64"/>
      <c r="G67" s="64">
        <f>138.11+46.45+125.53</f>
        <v>310.09000000000003</v>
      </c>
      <c r="H67" s="64">
        <v>1901.68</v>
      </c>
      <c r="I67" s="65"/>
      <c r="J67" s="64">
        <v>1040</v>
      </c>
      <c r="K67" s="64">
        <v>1798.97</v>
      </c>
      <c r="L67" s="64"/>
      <c r="M67" s="64"/>
      <c r="N67" s="64">
        <v>446.61</v>
      </c>
      <c r="O67" s="70"/>
      <c r="P67" s="64">
        <v>1060</v>
      </c>
    </row>
    <row r="68" spans="1:16" s="71" customFormat="1" x14ac:dyDescent="0.3">
      <c r="A68" s="62" t="s">
        <v>76</v>
      </c>
      <c r="B68" s="63" t="s">
        <v>254</v>
      </c>
      <c r="C68" s="64"/>
      <c r="D68" s="64"/>
      <c r="E68" s="64"/>
      <c r="F68" s="64"/>
      <c r="G68" s="64">
        <f>626.28+62.5+406.63</f>
        <v>1095.4099999999999</v>
      </c>
      <c r="H68" s="64">
        <f>581.64+93.3</f>
        <v>674.93999999999994</v>
      </c>
      <c r="I68" s="65"/>
      <c r="J68" s="64">
        <v>650</v>
      </c>
      <c r="K68" s="64">
        <v>559.83000000000004</v>
      </c>
      <c r="L68" s="64"/>
      <c r="M68" s="64">
        <v>650</v>
      </c>
      <c r="N68" s="64">
        <v>378.94</v>
      </c>
      <c r="O68" s="70"/>
      <c r="P68" s="64">
        <v>650</v>
      </c>
    </row>
    <row r="69" spans="1:16" s="71" customFormat="1" x14ac:dyDescent="0.3">
      <c r="A69" s="62" t="s">
        <v>77</v>
      </c>
      <c r="B69" s="63" t="s">
        <v>255</v>
      </c>
      <c r="C69" s="64"/>
      <c r="D69" s="64"/>
      <c r="E69" s="64"/>
      <c r="F69" s="64"/>
      <c r="G69" s="64"/>
      <c r="H69" s="64">
        <v>258.36</v>
      </c>
      <c r="I69" s="65"/>
      <c r="J69" s="64">
        <v>200</v>
      </c>
      <c r="K69" s="64">
        <v>828.53</v>
      </c>
      <c r="L69" s="64"/>
      <c r="M69" s="64">
        <v>280</v>
      </c>
      <c r="N69" s="64"/>
      <c r="O69" s="70"/>
      <c r="P69" s="64">
        <v>320</v>
      </c>
    </row>
    <row r="70" spans="1:16" s="71" customFormat="1" x14ac:dyDescent="0.3">
      <c r="A70" s="62" t="s">
        <v>78</v>
      </c>
      <c r="B70" s="63" t="s">
        <v>230</v>
      </c>
      <c r="C70" s="64"/>
      <c r="D70" s="64"/>
      <c r="E70" s="64"/>
      <c r="F70" s="64"/>
      <c r="G70" s="64">
        <v>292</v>
      </c>
      <c r="H70" s="64"/>
      <c r="I70" s="65"/>
      <c r="J70" s="64"/>
      <c r="K70" s="64"/>
      <c r="L70" s="64"/>
      <c r="M70" s="64"/>
      <c r="N70" s="64"/>
      <c r="O70" s="70"/>
      <c r="P70" s="64">
        <v>300</v>
      </c>
    </row>
    <row r="71" spans="1:16" s="71" customFormat="1" x14ac:dyDescent="0.3">
      <c r="A71" s="62" t="s">
        <v>229</v>
      </c>
      <c r="B71" s="63" t="s">
        <v>256</v>
      </c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5"/>
      <c r="N71" s="81"/>
      <c r="O71" s="70"/>
      <c r="P71" s="64">
        <v>325</v>
      </c>
    </row>
    <row r="72" spans="1:16" s="71" customFormat="1" x14ac:dyDescent="0.3">
      <c r="A72" s="62" t="s">
        <v>253</v>
      </c>
      <c r="B72" s="63" t="s">
        <v>79</v>
      </c>
      <c r="C72" s="64"/>
      <c r="D72" s="64"/>
      <c r="E72" s="64"/>
      <c r="F72" s="64"/>
      <c r="G72" s="64"/>
      <c r="H72" s="64"/>
      <c r="I72" s="65"/>
      <c r="J72" s="64">
        <v>3000</v>
      </c>
      <c r="K72" s="64">
        <v>3000</v>
      </c>
      <c r="L72" s="64"/>
      <c r="M72" s="65">
        <v>3000</v>
      </c>
      <c r="N72" s="82">
        <v>3000</v>
      </c>
      <c r="O72" s="70"/>
      <c r="P72" s="64">
        <v>3000</v>
      </c>
    </row>
    <row r="73" spans="1:16" s="26" customFormat="1" x14ac:dyDescent="0.3">
      <c r="A73" s="25"/>
      <c r="B73" s="6" t="s">
        <v>81</v>
      </c>
      <c r="C73" s="29">
        <v>6578</v>
      </c>
      <c r="D73" s="29">
        <v>7572</v>
      </c>
      <c r="E73" s="29">
        <v>6536</v>
      </c>
      <c r="F73" s="29">
        <v>13506</v>
      </c>
      <c r="G73" s="29">
        <v>15882</v>
      </c>
      <c r="H73" s="29">
        <v>15593</v>
      </c>
      <c r="I73" s="29"/>
      <c r="J73" s="14">
        <f>SUM(J65:J69)</f>
        <v>6850</v>
      </c>
      <c r="K73" s="14">
        <f>SUM(K65:K72)</f>
        <v>16914.29</v>
      </c>
      <c r="L73" s="14"/>
      <c r="M73" s="29">
        <f>SUM(M65:M72)</f>
        <v>11765</v>
      </c>
      <c r="N73" s="29">
        <f>SUM(N65:N72)</f>
        <v>7563.5599999999995</v>
      </c>
      <c r="O73" s="57"/>
      <c r="P73" s="29">
        <f>SUM(P65:P72)</f>
        <v>12448.2</v>
      </c>
    </row>
    <row r="74" spans="1:16" s="26" customFormat="1" x14ac:dyDescent="0.3">
      <c r="A74" s="25"/>
      <c r="B74" s="6"/>
      <c r="C74" s="29"/>
      <c r="D74" s="29"/>
      <c r="E74" s="29"/>
      <c r="F74" s="29"/>
      <c r="G74" s="29"/>
      <c r="H74" s="29"/>
      <c r="I74" s="29"/>
      <c r="J74" s="14"/>
      <c r="K74" s="14"/>
      <c r="L74" s="14"/>
      <c r="M74" s="29"/>
      <c r="N74" s="29"/>
      <c r="O74" s="57"/>
      <c r="P74" s="29"/>
    </row>
    <row r="75" spans="1:16" x14ac:dyDescent="0.3">
      <c r="A75" s="19" t="s">
        <v>83</v>
      </c>
      <c r="B75" s="11" t="s">
        <v>84</v>
      </c>
      <c r="C75" s="31"/>
      <c r="D75" s="31"/>
      <c r="E75" s="31"/>
      <c r="F75" s="31"/>
      <c r="H75" s="32"/>
      <c r="I75" s="32"/>
      <c r="L75" s="13"/>
    </row>
    <row r="76" spans="1:16" s="71" customFormat="1" x14ac:dyDescent="0.3">
      <c r="A76" s="62" t="s">
        <v>85</v>
      </c>
      <c r="B76" s="63" t="s">
        <v>86</v>
      </c>
      <c r="C76" s="64"/>
      <c r="D76" s="64"/>
      <c r="E76" s="64"/>
      <c r="F76" s="64"/>
      <c r="G76" s="64">
        <f>672.33+306.47+1207.19+1019.21+306.25+401.73+658.79+265.65+587.61+409.47+447.33+411.76+52.8-14</f>
        <v>6732.59</v>
      </c>
      <c r="H76" s="64">
        <f>7037.12-H77</f>
        <v>6700.38</v>
      </c>
      <c r="I76" s="64"/>
      <c r="J76" s="64">
        <v>7000</v>
      </c>
      <c r="K76" s="64">
        <f>7984.17-174.97-12.36</f>
        <v>7796.84</v>
      </c>
      <c r="L76" s="64"/>
      <c r="M76" s="64">
        <v>9500</v>
      </c>
      <c r="N76" s="64">
        <v>5686.53</v>
      </c>
      <c r="O76" s="72"/>
      <c r="P76" s="64">
        <v>7000</v>
      </c>
    </row>
    <row r="77" spans="1:16" s="71" customFormat="1" x14ac:dyDescent="0.3">
      <c r="A77" s="62" t="s">
        <v>87</v>
      </c>
      <c r="B77" s="63" t="s">
        <v>88</v>
      </c>
      <c r="C77" s="64"/>
      <c r="D77" s="64"/>
      <c r="E77" s="64"/>
      <c r="F77" s="64"/>
      <c r="G77" s="64">
        <f>8+30+57.12+39.95+39+9.99+9.99+9.99+10+25+30</f>
        <v>269.04000000000002</v>
      </c>
      <c r="H77" s="64">
        <f>48+19.97+37+30+15+17+52.8+9.97+23+67+17</f>
        <v>336.74</v>
      </c>
      <c r="I77" s="64"/>
      <c r="J77" s="64"/>
      <c r="K77" s="64">
        <f>15+35+9.97+30+25</f>
        <v>114.97</v>
      </c>
      <c r="L77" s="64"/>
      <c r="M77" s="64">
        <v>500</v>
      </c>
      <c r="N77" s="64">
        <v>138.94999999999999</v>
      </c>
      <c r="O77" s="72"/>
      <c r="P77" s="64">
        <v>400</v>
      </c>
    </row>
    <row r="78" spans="1:16" s="71" customFormat="1" x14ac:dyDescent="0.3">
      <c r="A78" s="62" t="s">
        <v>208</v>
      </c>
      <c r="B78" s="63" t="s">
        <v>209</v>
      </c>
      <c r="C78" s="64"/>
      <c r="D78" s="64"/>
      <c r="E78" s="64"/>
      <c r="F78" s="64"/>
      <c r="G78" s="64">
        <v>120</v>
      </c>
      <c r="H78" s="64"/>
      <c r="I78" s="64"/>
      <c r="J78" s="64"/>
      <c r="K78" s="64">
        <v>60</v>
      </c>
      <c r="L78" s="64"/>
      <c r="M78" s="64"/>
      <c r="N78" s="64">
        <v>430.17</v>
      </c>
      <c r="O78" s="72"/>
      <c r="P78" s="64">
        <v>120</v>
      </c>
    </row>
    <row r="79" spans="1:16" s="1" customFormat="1" x14ac:dyDescent="0.3">
      <c r="A79" s="19"/>
      <c r="B79" s="6" t="s">
        <v>89</v>
      </c>
      <c r="C79" s="28">
        <v>5405</v>
      </c>
      <c r="D79" s="28">
        <v>5931.75</v>
      </c>
      <c r="E79" s="28">
        <v>5907</v>
      </c>
      <c r="F79" s="28">
        <v>6855</v>
      </c>
      <c r="G79" s="28">
        <f t="shared" ref="G79:H79" si="7">SUM(G76:G78)</f>
        <v>7121.63</v>
      </c>
      <c r="H79" s="28">
        <f t="shared" si="7"/>
        <v>7037.12</v>
      </c>
      <c r="I79" s="29"/>
      <c r="J79" s="28">
        <f>SUM(J76:J78)</f>
        <v>7000</v>
      </c>
      <c r="K79" s="28">
        <f>SUM(K76:K78)</f>
        <v>7971.81</v>
      </c>
      <c r="L79" s="8"/>
      <c r="M79" s="28">
        <f>SUM(M76:M78)</f>
        <v>10000</v>
      </c>
      <c r="N79" s="28">
        <f>SUM(N76:N78)</f>
        <v>6255.65</v>
      </c>
      <c r="O79" s="53"/>
      <c r="P79" s="28">
        <f>SUM(P76:P78)</f>
        <v>7520</v>
      </c>
    </row>
    <row r="80" spans="1:16" s="1" customFormat="1" x14ac:dyDescent="0.3">
      <c r="A80" s="19"/>
      <c r="B80" s="6"/>
      <c r="C80" s="28"/>
      <c r="D80" s="28"/>
      <c r="E80" s="28"/>
      <c r="F80" s="28"/>
      <c r="G80" s="28"/>
      <c r="H80" s="28"/>
      <c r="I80" s="29"/>
      <c r="J80" s="28"/>
      <c r="K80" s="28"/>
      <c r="L80" s="8"/>
      <c r="M80" s="28"/>
      <c r="N80" s="28"/>
      <c r="O80" s="53"/>
      <c r="P80" s="28"/>
    </row>
    <row r="81" spans="1:16" x14ac:dyDescent="0.3">
      <c r="A81" s="19" t="s">
        <v>90</v>
      </c>
      <c r="B81" s="11" t="s">
        <v>91</v>
      </c>
      <c r="C81" s="30"/>
      <c r="L81" s="13"/>
    </row>
    <row r="82" spans="1:16" s="71" customFormat="1" x14ac:dyDescent="0.3">
      <c r="A82" s="80" t="s">
        <v>241</v>
      </c>
      <c r="B82" s="63" t="s">
        <v>240</v>
      </c>
      <c r="C82" s="65"/>
      <c r="D82" s="64"/>
      <c r="E82" s="64"/>
      <c r="F82" s="64"/>
      <c r="G82" s="65"/>
      <c r="H82" s="65"/>
      <c r="I82" s="65"/>
      <c r="J82" s="64"/>
      <c r="K82" s="64"/>
      <c r="L82" s="64"/>
      <c r="M82" s="65">
        <v>500</v>
      </c>
      <c r="N82" s="64"/>
      <c r="O82" s="70"/>
      <c r="P82" s="65"/>
    </row>
    <row r="83" spans="1:16" s="71" customFormat="1" x14ac:dyDescent="0.3">
      <c r="A83" s="80" t="s">
        <v>242</v>
      </c>
      <c r="B83" s="63" t="s">
        <v>213</v>
      </c>
      <c r="C83" s="64"/>
      <c r="D83" s="64"/>
      <c r="E83" s="64"/>
      <c r="F83" s="64"/>
      <c r="G83" s="64"/>
      <c r="H83" s="64">
        <v>11.97</v>
      </c>
      <c r="I83" s="74"/>
      <c r="J83" s="66"/>
      <c r="K83" s="64"/>
      <c r="L83" s="64"/>
      <c r="M83" s="65"/>
      <c r="N83" s="64"/>
      <c r="O83" s="70"/>
      <c r="P83" s="65"/>
    </row>
    <row r="84" spans="1:16" s="71" customFormat="1" x14ac:dyDescent="0.3">
      <c r="A84" s="80" t="s">
        <v>243</v>
      </c>
      <c r="B84" s="63" t="s">
        <v>222</v>
      </c>
      <c r="C84" s="64"/>
      <c r="D84" s="64"/>
      <c r="E84" s="64"/>
      <c r="F84" s="64"/>
      <c r="G84" s="64">
        <v>101.4</v>
      </c>
      <c r="H84" s="64">
        <v>101.4</v>
      </c>
      <c r="I84" s="74"/>
      <c r="J84" s="66"/>
      <c r="K84" s="64">
        <v>101.4</v>
      </c>
      <c r="L84" s="64"/>
      <c r="M84" s="64"/>
      <c r="N84" s="64">
        <v>194</v>
      </c>
      <c r="O84" s="72"/>
      <c r="P84" s="64">
        <v>500</v>
      </c>
    </row>
    <row r="85" spans="1:16" s="2" customFormat="1" x14ac:dyDescent="0.3">
      <c r="A85" s="20"/>
      <c r="B85" s="6" t="s">
        <v>91</v>
      </c>
      <c r="C85" s="30"/>
      <c r="D85" s="28">
        <v>470.51</v>
      </c>
      <c r="E85" s="28">
        <v>136</v>
      </c>
      <c r="F85" s="28">
        <v>30</v>
      </c>
      <c r="G85" s="28">
        <v>217</v>
      </c>
      <c r="H85" s="29">
        <f>SUM(H83:H84)</f>
        <v>113.37</v>
      </c>
      <c r="I85" s="29"/>
      <c r="J85" s="14">
        <v>700</v>
      </c>
      <c r="K85" s="8">
        <f>SUM(K82:K84)</f>
        <v>101.4</v>
      </c>
      <c r="L85" s="12"/>
      <c r="M85" s="8">
        <f t="shared" ref="M85:P85" si="8">SUM(M82:M84)</f>
        <v>500</v>
      </c>
      <c r="N85" s="8">
        <f t="shared" si="8"/>
        <v>194</v>
      </c>
      <c r="O85" s="8">
        <f t="shared" si="8"/>
        <v>0</v>
      </c>
      <c r="P85" s="8">
        <f t="shared" si="8"/>
        <v>500</v>
      </c>
    </row>
    <row r="86" spans="1:16" s="2" customFormat="1" x14ac:dyDescent="0.3">
      <c r="A86" s="20"/>
      <c r="B86" s="6"/>
      <c r="C86" s="30"/>
      <c r="D86" s="28"/>
      <c r="E86" s="28"/>
      <c r="F86" s="28"/>
      <c r="G86" s="28"/>
      <c r="H86" s="29"/>
      <c r="I86" s="29"/>
      <c r="J86" s="14"/>
      <c r="K86" s="8"/>
      <c r="L86" s="12"/>
      <c r="M86" s="28"/>
      <c r="N86" s="8"/>
      <c r="O86" s="54"/>
      <c r="P86" s="8"/>
    </row>
    <row r="87" spans="1:16" x14ac:dyDescent="0.3">
      <c r="A87" s="19" t="s">
        <v>92</v>
      </c>
      <c r="B87" s="33" t="s">
        <v>93</v>
      </c>
      <c r="C87" s="31"/>
      <c r="D87" s="31"/>
      <c r="E87" s="31"/>
      <c r="F87" s="31"/>
      <c r="H87" s="32"/>
      <c r="I87" s="32"/>
      <c r="L87" s="13"/>
      <c r="M87" s="13"/>
      <c r="O87" s="61"/>
      <c r="P87" s="13"/>
    </row>
    <row r="88" spans="1:16" s="71" customFormat="1" x14ac:dyDescent="0.3">
      <c r="A88" s="62" t="s">
        <v>94</v>
      </c>
      <c r="B88" s="75" t="s">
        <v>95</v>
      </c>
      <c r="C88" s="64"/>
      <c r="D88" s="64"/>
      <c r="E88" s="64"/>
      <c r="F88" s="64"/>
      <c r="G88" s="64">
        <f>108.76+129.64+172.63+15.96+149.64+177.56+119.68+90.8+126.72+166.64+224.48+166.6+150.64+257.44+225.48+21.98</f>
        <v>2304.6499999999996</v>
      </c>
      <c r="H88" s="64">
        <v>2662.25</v>
      </c>
      <c r="I88" s="65"/>
      <c r="J88" s="64">
        <v>3000</v>
      </c>
      <c r="K88" s="64">
        <f>4087.58+12.36+10.68</f>
        <v>4110.62</v>
      </c>
      <c r="L88" s="64"/>
      <c r="M88" s="64">
        <v>5500</v>
      </c>
      <c r="N88" s="64">
        <v>774.26</v>
      </c>
      <c r="O88" s="72"/>
      <c r="P88" s="64">
        <v>4500</v>
      </c>
    </row>
    <row r="89" spans="1:16" s="71" customFormat="1" x14ac:dyDescent="0.3">
      <c r="A89" s="62" t="s">
        <v>96</v>
      </c>
      <c r="B89" s="75" t="s">
        <v>97</v>
      </c>
      <c r="C89" s="64"/>
      <c r="D89" s="64"/>
      <c r="E89" s="64"/>
      <c r="F89" s="64"/>
      <c r="G89" s="64">
        <f>98.5+17.55</f>
        <v>116.05</v>
      </c>
      <c r="H89" s="64"/>
      <c r="I89" s="65"/>
      <c r="J89" s="64"/>
      <c r="K89" s="64"/>
      <c r="L89" s="64"/>
      <c r="M89" s="64"/>
      <c r="N89" s="64">
        <v>498.72</v>
      </c>
      <c r="O89" s="72"/>
      <c r="P89" s="64">
        <v>1000</v>
      </c>
    </row>
    <row r="90" spans="1:16" s="71" customFormat="1" x14ac:dyDescent="0.3">
      <c r="A90" s="62" t="s">
        <v>98</v>
      </c>
      <c r="B90" s="75" t="s">
        <v>99</v>
      </c>
      <c r="C90" s="64"/>
      <c r="D90" s="64"/>
      <c r="E90" s="64"/>
      <c r="F90" s="64"/>
      <c r="G90" s="64"/>
      <c r="H90" s="64"/>
      <c r="I90" s="65"/>
      <c r="J90" s="64"/>
      <c r="K90" s="64"/>
      <c r="L90" s="64"/>
      <c r="M90" s="64"/>
      <c r="N90" s="64"/>
      <c r="O90" s="72"/>
      <c r="P90" s="64">
        <v>0</v>
      </c>
    </row>
    <row r="91" spans="1:16" s="71" customFormat="1" x14ac:dyDescent="0.3">
      <c r="A91" s="62" t="s">
        <v>247</v>
      </c>
      <c r="B91" s="75" t="s">
        <v>248</v>
      </c>
      <c r="C91" s="64"/>
      <c r="D91" s="64"/>
      <c r="E91" s="64"/>
      <c r="F91" s="64"/>
      <c r="G91" s="64"/>
      <c r="H91" s="64"/>
      <c r="I91" s="65"/>
      <c r="J91" s="64"/>
      <c r="K91" s="64"/>
      <c r="L91" s="64"/>
      <c r="M91" s="64"/>
      <c r="N91" s="64">
        <v>985.99</v>
      </c>
      <c r="O91" s="72"/>
      <c r="P91" s="64">
        <v>0</v>
      </c>
    </row>
    <row r="92" spans="1:16" s="1" customFormat="1" x14ac:dyDescent="0.3">
      <c r="A92" s="19"/>
      <c r="B92" s="6" t="s">
        <v>100</v>
      </c>
      <c r="C92" s="28">
        <v>3293</v>
      </c>
      <c r="D92" s="28">
        <v>1816.6</v>
      </c>
      <c r="E92" s="28">
        <v>2975</v>
      </c>
      <c r="F92" s="28">
        <v>3085</v>
      </c>
      <c r="G92" s="28">
        <f>SUM(G88:G91)</f>
        <v>2420.6999999999998</v>
      </c>
      <c r="H92" s="28">
        <f>SUM(H88:H91)</f>
        <v>2662.25</v>
      </c>
      <c r="I92" s="29"/>
      <c r="J92" s="28">
        <f>SUM(J88:J91)</f>
        <v>3000</v>
      </c>
      <c r="K92" s="28">
        <f>SUM(K88:K91)</f>
        <v>4110.62</v>
      </c>
      <c r="L92" s="8"/>
      <c r="M92" s="28">
        <f>SUM(M88:M91)</f>
        <v>5500</v>
      </c>
      <c r="N92" s="28">
        <f>SUM(N88:N91)</f>
        <v>2258.9700000000003</v>
      </c>
      <c r="O92" s="53"/>
      <c r="P92" s="28">
        <f>SUM(P88:P91)</f>
        <v>5500</v>
      </c>
    </row>
    <row r="93" spans="1:16" s="1" customFormat="1" x14ac:dyDescent="0.3">
      <c r="A93" s="19"/>
      <c r="B93" s="6"/>
      <c r="C93" s="28"/>
      <c r="D93" s="28"/>
      <c r="E93" s="28"/>
      <c r="F93" s="28"/>
      <c r="G93" s="28"/>
      <c r="H93" s="28"/>
      <c r="I93" s="29"/>
      <c r="J93" s="28"/>
      <c r="K93" s="28"/>
      <c r="L93" s="8"/>
      <c r="M93" s="28"/>
      <c r="N93" s="28"/>
      <c r="O93" s="53"/>
      <c r="P93" s="28"/>
    </row>
    <row r="94" spans="1:16" x14ac:dyDescent="0.3">
      <c r="A94" s="19" t="s">
        <v>101</v>
      </c>
      <c r="B94" s="33" t="s">
        <v>102</v>
      </c>
      <c r="C94" s="31"/>
      <c r="D94" s="31"/>
      <c r="E94" s="31"/>
      <c r="F94" s="29">
        <v>2265</v>
      </c>
      <c r="H94" s="32"/>
      <c r="I94" s="32"/>
      <c r="L94" s="13"/>
      <c r="M94" s="28"/>
      <c r="N94" s="28">
        <v>399.99</v>
      </c>
    </row>
    <row r="95" spans="1:16" x14ac:dyDescent="0.3">
      <c r="A95" s="19"/>
      <c r="B95" s="33"/>
      <c r="C95" s="31"/>
      <c r="D95" s="31"/>
      <c r="E95" s="31"/>
      <c r="F95" s="29"/>
      <c r="H95" s="32"/>
      <c r="I95" s="32"/>
      <c r="L95" s="13"/>
    </row>
    <row r="96" spans="1:16" x14ac:dyDescent="0.3">
      <c r="A96" s="19" t="s">
        <v>103</v>
      </c>
      <c r="B96" s="33" t="s">
        <v>104</v>
      </c>
      <c r="C96" s="31"/>
      <c r="D96" s="31"/>
      <c r="E96" s="31"/>
      <c r="F96" s="31"/>
      <c r="G96" s="28"/>
      <c r="L96" s="13"/>
      <c r="N96" s="28">
        <v>16731.54</v>
      </c>
    </row>
    <row r="97" spans="1:16" s="71" customFormat="1" x14ac:dyDescent="0.3">
      <c r="A97" s="62" t="s">
        <v>136</v>
      </c>
      <c r="B97" s="75" t="s">
        <v>216</v>
      </c>
      <c r="C97" s="65"/>
      <c r="D97" s="65"/>
      <c r="E97" s="65"/>
      <c r="F97" s="65"/>
      <c r="G97" s="65"/>
      <c r="H97" s="64">
        <v>7915</v>
      </c>
      <c r="I97" s="65"/>
      <c r="J97" s="64"/>
      <c r="K97" s="64">
        <f>13825+925</f>
        <v>14750</v>
      </c>
      <c r="L97" s="64"/>
      <c r="M97" s="64">
        <v>60000</v>
      </c>
      <c r="N97" s="64">
        <v>25000</v>
      </c>
      <c r="O97" s="70"/>
      <c r="P97" s="64">
        <v>35000</v>
      </c>
    </row>
    <row r="98" spans="1:16" s="71" customFormat="1" x14ac:dyDescent="0.3">
      <c r="A98" s="62" t="s">
        <v>137</v>
      </c>
      <c r="B98" s="75" t="s">
        <v>139</v>
      </c>
      <c r="C98" s="65"/>
      <c r="D98" s="65"/>
      <c r="E98" s="65"/>
      <c r="F98" s="65"/>
      <c r="G98" s="65"/>
      <c r="H98" s="64">
        <v>7105.18</v>
      </c>
      <c r="I98" s="65"/>
      <c r="J98" s="64">
        <v>15000</v>
      </c>
      <c r="K98" s="64">
        <v>4281.99</v>
      </c>
      <c r="L98" s="64"/>
      <c r="M98" s="64">
        <v>12000</v>
      </c>
      <c r="N98" s="64"/>
      <c r="O98" s="70"/>
      <c r="P98" s="64">
        <v>15500</v>
      </c>
    </row>
    <row r="99" spans="1:16" x14ac:dyDescent="0.3">
      <c r="A99" s="19"/>
      <c r="B99" s="6" t="s">
        <v>138</v>
      </c>
      <c r="C99" s="31"/>
      <c r="D99" s="31"/>
      <c r="E99" s="28">
        <v>8174</v>
      </c>
      <c r="F99" s="31"/>
      <c r="G99" s="28">
        <v>11224</v>
      </c>
      <c r="H99" s="29">
        <f>SUM(H97:H98)</f>
        <v>15020.18</v>
      </c>
      <c r="I99" s="29"/>
      <c r="J99" s="8">
        <f>SUM(J97:J98)</f>
        <v>15000</v>
      </c>
      <c r="K99" s="8">
        <f>SUM(K97:K98)</f>
        <v>19031.989999999998</v>
      </c>
      <c r="L99" s="13"/>
      <c r="M99" s="28">
        <f>SUM(M97:M98)</f>
        <v>72000</v>
      </c>
      <c r="N99" s="28">
        <f>SUM(N97:N98)</f>
        <v>25000</v>
      </c>
      <c r="P99" s="28">
        <f>SUM(P97:P98)</f>
        <v>50500</v>
      </c>
    </row>
    <row r="100" spans="1:16" x14ac:dyDescent="0.3">
      <c r="A100" s="19"/>
      <c r="B100" s="6"/>
      <c r="C100" s="31"/>
      <c r="D100" s="31"/>
      <c r="E100" s="28"/>
      <c r="F100" s="31"/>
      <c r="G100" s="28"/>
      <c r="H100" s="29"/>
      <c r="I100" s="29"/>
      <c r="J100" s="8"/>
      <c r="K100" s="8"/>
      <c r="L100" s="13"/>
      <c r="M100" s="28"/>
      <c r="N100" s="28"/>
      <c r="P100" s="28"/>
    </row>
    <row r="101" spans="1:16" s="1" customFormat="1" x14ac:dyDescent="0.3">
      <c r="A101" s="19" t="s">
        <v>105</v>
      </c>
      <c r="B101" s="11" t="s">
        <v>106</v>
      </c>
      <c r="C101" s="28">
        <v>23954</v>
      </c>
      <c r="D101" s="28">
        <v>7728</v>
      </c>
      <c r="E101" s="28">
        <v>2088</v>
      </c>
      <c r="F101" s="29">
        <v>11150</v>
      </c>
      <c r="G101" s="28">
        <v>954</v>
      </c>
      <c r="H101" s="29"/>
      <c r="I101" s="29"/>
      <c r="J101" s="8"/>
      <c r="K101" s="8"/>
      <c r="L101" s="8"/>
      <c r="M101" s="28"/>
      <c r="N101" s="8"/>
      <c r="O101" s="53"/>
      <c r="P101" s="28"/>
    </row>
    <row r="102" spans="1:16" s="1" customFormat="1" x14ac:dyDescent="0.3">
      <c r="A102" s="19"/>
      <c r="B102" s="11"/>
      <c r="C102" s="28"/>
      <c r="D102" s="28"/>
      <c r="E102" s="28"/>
      <c r="F102" s="29"/>
      <c r="G102" s="28"/>
      <c r="H102" s="29"/>
      <c r="I102" s="29"/>
      <c r="J102" s="8"/>
      <c r="K102" s="8"/>
      <c r="L102" s="8"/>
      <c r="M102" s="28"/>
      <c r="N102" s="8"/>
      <c r="O102" s="53"/>
      <c r="P102" s="28"/>
    </row>
    <row r="103" spans="1:16" s="1" customFormat="1" x14ac:dyDescent="0.3">
      <c r="A103" s="19" t="s">
        <v>107</v>
      </c>
      <c r="B103" s="11" t="s">
        <v>108</v>
      </c>
      <c r="C103" s="28"/>
      <c r="D103" s="28"/>
      <c r="E103" s="28"/>
      <c r="F103" s="28"/>
      <c r="G103" s="28"/>
      <c r="H103" s="29">
        <f>52.61+52.65</f>
        <v>105.25999999999999</v>
      </c>
      <c r="I103" s="29"/>
      <c r="J103" s="8"/>
      <c r="K103" s="8"/>
      <c r="L103" s="8"/>
      <c r="M103" s="28"/>
      <c r="N103" s="28">
        <v>310</v>
      </c>
      <c r="O103" s="53"/>
      <c r="P103" s="28"/>
    </row>
    <row r="104" spans="1:16" s="1" customFormat="1" x14ac:dyDescent="0.3">
      <c r="A104" s="19"/>
      <c r="B104" s="11"/>
      <c r="C104" s="28"/>
      <c r="D104" s="28"/>
      <c r="E104" s="28"/>
      <c r="F104" s="28"/>
      <c r="G104" s="28"/>
      <c r="H104" s="29"/>
      <c r="I104" s="29"/>
      <c r="J104" s="8"/>
      <c r="K104" s="8"/>
      <c r="L104" s="8"/>
      <c r="M104" s="28"/>
      <c r="N104" s="8"/>
      <c r="O104" s="53"/>
      <c r="P104" s="28"/>
    </row>
    <row r="105" spans="1:16" s="1" customFormat="1" x14ac:dyDescent="0.3">
      <c r="A105" s="19" t="s">
        <v>109</v>
      </c>
      <c r="B105" s="11" t="s">
        <v>152</v>
      </c>
      <c r="C105" s="28"/>
      <c r="D105" s="28"/>
      <c r="E105" s="28"/>
      <c r="F105" s="28"/>
      <c r="G105" s="28"/>
      <c r="H105" s="28"/>
      <c r="I105" s="28"/>
      <c r="J105" s="8"/>
      <c r="K105" s="8"/>
      <c r="L105" s="8"/>
      <c r="M105" s="28"/>
      <c r="N105" s="8"/>
      <c r="O105" s="53"/>
      <c r="P105" s="28"/>
    </row>
    <row r="106" spans="1:16" s="71" customFormat="1" x14ac:dyDescent="0.3">
      <c r="A106" s="62" t="s">
        <v>140</v>
      </c>
      <c r="B106" s="63" t="s">
        <v>146</v>
      </c>
      <c r="C106" s="64"/>
      <c r="D106" s="64"/>
      <c r="E106" s="64"/>
      <c r="F106" s="64"/>
      <c r="G106" s="64">
        <f>45.2+25.97+400+29.96+34.98</f>
        <v>536.11</v>
      </c>
      <c r="H106" s="64">
        <v>463.6</v>
      </c>
      <c r="I106" s="65"/>
      <c r="J106" s="64">
        <v>3000</v>
      </c>
      <c r="K106" s="64">
        <v>811.44</v>
      </c>
      <c r="L106" s="64"/>
      <c r="M106" s="64">
        <v>3000</v>
      </c>
      <c r="N106" s="64">
        <v>961.5</v>
      </c>
      <c r="O106" s="72"/>
      <c r="P106" s="64">
        <v>3000</v>
      </c>
    </row>
    <row r="107" spans="1:16" s="71" customFormat="1" x14ac:dyDescent="0.3">
      <c r="A107" s="62" t="s">
        <v>141</v>
      </c>
      <c r="B107" s="63" t="s">
        <v>190</v>
      </c>
      <c r="C107" s="64"/>
      <c r="D107" s="64"/>
      <c r="E107" s="64"/>
      <c r="F107" s="64"/>
      <c r="G107" s="64">
        <f>125+175+100+200+100+230+125+230+100+255+200+11.62</f>
        <v>1851.62</v>
      </c>
      <c r="H107" s="64">
        <v>1800</v>
      </c>
      <c r="I107" s="65"/>
      <c r="J107" s="64">
        <v>1300</v>
      </c>
      <c r="K107" s="64">
        <v>1625</v>
      </c>
      <c r="L107" s="64"/>
      <c r="M107" s="64">
        <v>2000</v>
      </c>
      <c r="N107" s="64">
        <v>780</v>
      </c>
      <c r="O107" s="72"/>
      <c r="P107" s="64">
        <v>2000</v>
      </c>
    </row>
    <row r="108" spans="1:16" s="71" customFormat="1" x14ac:dyDescent="0.3">
      <c r="A108" s="62" t="s">
        <v>142</v>
      </c>
      <c r="B108" s="63" t="s">
        <v>147</v>
      </c>
      <c r="C108" s="64"/>
      <c r="D108" s="64"/>
      <c r="E108" s="64"/>
      <c r="F108" s="64"/>
      <c r="G108" s="64"/>
      <c r="H108" s="64"/>
      <c r="I108" s="65"/>
      <c r="J108" s="64"/>
      <c r="K108" s="64">
        <v>300</v>
      </c>
      <c r="L108" s="64"/>
      <c r="M108" s="64"/>
      <c r="N108" s="64">
        <v>529</v>
      </c>
      <c r="O108" s="72"/>
      <c r="P108" s="64">
        <v>660</v>
      </c>
    </row>
    <row r="109" spans="1:16" s="71" customFormat="1" x14ac:dyDescent="0.3">
      <c r="A109" s="62" t="s">
        <v>143</v>
      </c>
      <c r="B109" s="63" t="s">
        <v>148</v>
      </c>
      <c r="C109" s="64"/>
      <c r="D109" s="64"/>
      <c r="E109" s="64"/>
      <c r="F109" s="64"/>
      <c r="G109" s="64">
        <v>1614.88</v>
      </c>
      <c r="H109" s="64">
        <v>1670.23</v>
      </c>
      <c r="I109" s="65"/>
      <c r="J109" s="64">
        <v>1650</v>
      </c>
      <c r="K109" s="64">
        <v>1828.6</v>
      </c>
      <c r="L109" s="64"/>
      <c r="M109" s="64">
        <v>1650</v>
      </c>
      <c r="N109" s="64">
        <v>1648.47</v>
      </c>
      <c r="O109" s="72"/>
      <c r="P109" s="64">
        <v>2000</v>
      </c>
    </row>
    <row r="110" spans="1:16" s="71" customFormat="1" x14ac:dyDescent="0.3">
      <c r="A110" s="62" t="s">
        <v>144</v>
      </c>
      <c r="B110" s="63" t="s">
        <v>149</v>
      </c>
      <c r="C110" s="64"/>
      <c r="D110" s="64"/>
      <c r="E110" s="64">
        <v>5395</v>
      </c>
      <c r="F110" s="64">
        <v>5031</v>
      </c>
      <c r="G110" s="64">
        <f>321.57+636.27+182.62+461.5+200.82+546.71+196.89+471+277.9+155.59+30.17+257.24+112.7+125.25+358.56+245.72</f>
        <v>4580.51</v>
      </c>
      <c r="H110" s="64">
        <f>5776.35-H112</f>
        <v>5493.1600000000008</v>
      </c>
      <c r="I110" s="65"/>
      <c r="J110" s="64">
        <v>6500</v>
      </c>
      <c r="K110" s="64">
        <v>4750.91</v>
      </c>
      <c r="L110" s="64"/>
      <c r="M110" s="64">
        <v>6500</v>
      </c>
      <c r="N110" s="64">
        <v>3300.9</v>
      </c>
      <c r="O110" s="72"/>
      <c r="P110" s="64">
        <v>6000</v>
      </c>
    </row>
    <row r="111" spans="1:16" s="71" customFormat="1" x14ac:dyDescent="0.3">
      <c r="A111" s="62" t="s">
        <v>145</v>
      </c>
      <c r="B111" s="63" t="s">
        <v>150</v>
      </c>
      <c r="C111" s="64"/>
      <c r="D111" s="64"/>
      <c r="E111" s="64"/>
      <c r="F111" s="64"/>
      <c r="G111" s="64"/>
      <c r="H111" s="64"/>
      <c r="I111" s="65"/>
      <c r="J111" s="64"/>
      <c r="K111" s="64"/>
      <c r="L111" s="64"/>
      <c r="M111" s="64"/>
      <c r="N111" s="64"/>
      <c r="O111" s="72"/>
      <c r="P111" s="64">
        <v>0</v>
      </c>
    </row>
    <row r="112" spans="1:16" s="71" customFormat="1" x14ac:dyDescent="0.3">
      <c r="A112" s="62" t="s">
        <v>151</v>
      </c>
      <c r="B112" s="63" t="s">
        <v>205</v>
      </c>
      <c r="C112" s="64"/>
      <c r="D112" s="64"/>
      <c r="E112" s="64"/>
      <c r="F112" s="64"/>
      <c r="G112" s="64">
        <f>96+90.32+96</f>
        <v>282.32</v>
      </c>
      <c r="H112" s="64">
        <f>96+96+91.19</f>
        <v>283.19</v>
      </c>
      <c r="I112" s="65"/>
      <c r="J112" s="64"/>
      <c r="K112" s="64"/>
      <c r="L112" s="64"/>
      <c r="M112" s="64"/>
      <c r="N112" s="64"/>
      <c r="O112" s="72"/>
      <c r="P112" s="64">
        <v>400</v>
      </c>
    </row>
    <row r="113" spans="1:16" s="71" customFormat="1" x14ac:dyDescent="0.3">
      <c r="A113" s="62" t="s">
        <v>206</v>
      </c>
      <c r="B113" s="63" t="s">
        <v>139</v>
      </c>
      <c r="C113" s="64"/>
      <c r="D113" s="64"/>
      <c r="E113" s="64"/>
      <c r="F113" s="64"/>
      <c r="G113" s="64"/>
      <c r="H113" s="64">
        <v>468.54</v>
      </c>
      <c r="I113" s="65"/>
      <c r="J113" s="64"/>
      <c r="K113" s="64">
        <v>1025.1300000000001</v>
      </c>
      <c r="L113" s="64"/>
      <c r="M113" s="64"/>
      <c r="N113" s="64">
        <v>205.72</v>
      </c>
      <c r="O113" s="72"/>
      <c r="P113" s="64">
        <v>500</v>
      </c>
    </row>
    <row r="114" spans="1:16" x14ac:dyDescent="0.3">
      <c r="B114" s="6" t="s">
        <v>153</v>
      </c>
      <c r="C114" s="28">
        <v>8607</v>
      </c>
      <c r="D114" s="28">
        <v>7869</v>
      </c>
      <c r="E114" s="28">
        <v>0</v>
      </c>
      <c r="F114" s="28">
        <v>2015</v>
      </c>
      <c r="G114" s="29">
        <f>SUM(G106:G113)</f>
        <v>8865.44</v>
      </c>
      <c r="H114" s="29">
        <f>SUM(H106:H113)</f>
        <v>10178.720000000003</v>
      </c>
      <c r="I114" s="29"/>
      <c r="J114" s="8">
        <f>SUM(J106:J113)</f>
        <v>12450</v>
      </c>
      <c r="K114" s="8">
        <f>SUM(K106:K113)</f>
        <v>10341.080000000002</v>
      </c>
      <c r="L114" s="13"/>
      <c r="M114" s="28">
        <f>SUM(M106:M113)</f>
        <v>13150</v>
      </c>
      <c r="N114" s="28">
        <f>SUM(N106:N113)</f>
        <v>7425.5900000000011</v>
      </c>
      <c r="P114" s="28">
        <f>SUM(P106:P113)</f>
        <v>14560</v>
      </c>
    </row>
    <row r="115" spans="1:16" x14ac:dyDescent="0.3">
      <c r="B115" s="6"/>
      <c r="C115" s="28"/>
      <c r="D115" s="28"/>
      <c r="E115" s="28"/>
      <c r="F115" s="28"/>
      <c r="G115" s="29"/>
      <c r="H115" s="29"/>
      <c r="I115" s="29"/>
      <c r="J115" s="8"/>
      <c r="K115" s="8"/>
      <c r="L115" s="13"/>
      <c r="M115" s="28"/>
      <c r="N115" s="28"/>
      <c r="P115" s="28"/>
    </row>
    <row r="116" spans="1:16" x14ac:dyDescent="0.3">
      <c r="A116" s="19" t="s">
        <v>110</v>
      </c>
      <c r="B116" s="11" t="s">
        <v>111</v>
      </c>
      <c r="C116" s="31"/>
      <c r="D116" s="31"/>
      <c r="E116" s="31"/>
      <c r="F116" s="31"/>
      <c r="L116" s="13"/>
    </row>
    <row r="117" spans="1:16" s="71" customFormat="1" x14ac:dyDescent="0.3">
      <c r="A117" s="62" t="s">
        <v>154</v>
      </c>
      <c r="B117" s="63" t="s">
        <v>234</v>
      </c>
      <c r="C117" s="76"/>
      <c r="D117" s="76"/>
      <c r="E117" s="76"/>
      <c r="F117" s="76"/>
      <c r="G117" s="76">
        <f>28.5+29.36+28.5</f>
        <v>86.36</v>
      </c>
      <c r="H117" s="76">
        <v>2243.17</v>
      </c>
      <c r="I117" s="65"/>
      <c r="J117" s="64"/>
      <c r="K117" s="64">
        <v>2723.57</v>
      </c>
      <c r="L117" s="64"/>
      <c r="M117" s="64">
        <v>3500</v>
      </c>
      <c r="N117" s="64">
        <v>1270.97</v>
      </c>
      <c r="O117" s="72"/>
      <c r="P117" s="64">
        <v>1000</v>
      </c>
    </row>
    <row r="118" spans="1:16" s="71" customFormat="1" x14ac:dyDescent="0.3">
      <c r="A118" s="62" t="s">
        <v>155</v>
      </c>
      <c r="B118" s="63" t="s">
        <v>158</v>
      </c>
      <c r="C118" s="76"/>
      <c r="D118" s="76"/>
      <c r="E118" s="76"/>
      <c r="F118" s="76"/>
      <c r="G118" s="76">
        <f>29.6+67.56+18.93+15.65+23.78+13.99+24.98+23.74+14.97+15.96+14.94+46.9+22.29+15.83+13.49+14.07+25.48+36.78+10.31+15.02+81.58+14.32+8.99+17.38+20.75</f>
        <v>607.29000000000008</v>
      </c>
      <c r="H118" s="76">
        <v>449.97</v>
      </c>
      <c r="I118" s="65"/>
      <c r="J118" s="64"/>
      <c r="K118" s="64">
        <v>610.59</v>
      </c>
      <c r="L118" s="64"/>
      <c r="M118" s="64"/>
      <c r="N118" s="64">
        <v>294.42</v>
      </c>
      <c r="O118" s="72"/>
      <c r="P118" s="64">
        <v>500</v>
      </c>
    </row>
    <row r="119" spans="1:16" s="71" customFormat="1" x14ac:dyDescent="0.3">
      <c r="A119" s="62" t="s">
        <v>156</v>
      </c>
      <c r="B119" s="63" t="s">
        <v>159</v>
      </c>
      <c r="C119" s="76"/>
      <c r="D119" s="76"/>
      <c r="E119" s="76"/>
      <c r="F119" s="76"/>
      <c r="G119" s="76"/>
      <c r="H119" s="76">
        <v>96.39</v>
      </c>
      <c r="I119" s="65"/>
      <c r="J119" s="64"/>
      <c r="K119" s="64">
        <v>544.11</v>
      </c>
      <c r="L119" s="64"/>
      <c r="M119" s="64"/>
      <c r="N119" s="64">
        <v>271.55</v>
      </c>
      <c r="O119" s="72"/>
      <c r="P119" s="64">
        <v>750</v>
      </c>
    </row>
    <row r="120" spans="1:16" s="71" customFormat="1" x14ac:dyDescent="0.3">
      <c r="A120" s="62" t="s">
        <v>157</v>
      </c>
      <c r="B120" s="63" t="s">
        <v>214</v>
      </c>
      <c r="C120" s="76"/>
      <c r="D120" s="76"/>
      <c r="E120" s="76"/>
      <c r="F120" s="76"/>
      <c r="G120" s="76">
        <f>426.33+108</f>
        <v>534.32999999999993</v>
      </c>
      <c r="H120" s="76"/>
      <c r="I120" s="65"/>
      <c r="J120" s="64"/>
      <c r="K120" s="64">
        <f>137.69+138+10</f>
        <v>285.69</v>
      </c>
      <c r="L120" s="64"/>
      <c r="M120" s="64"/>
      <c r="N120" s="64"/>
      <c r="O120" s="72"/>
      <c r="P120" s="64">
        <v>250</v>
      </c>
    </row>
    <row r="121" spans="1:16" s="71" customFormat="1" x14ac:dyDescent="0.3">
      <c r="A121" s="62" t="s">
        <v>215</v>
      </c>
      <c r="B121" s="63" t="s">
        <v>232</v>
      </c>
      <c r="C121" s="76"/>
      <c r="D121" s="76"/>
      <c r="E121" s="76"/>
      <c r="F121" s="76"/>
      <c r="G121" s="76"/>
      <c r="H121" s="76"/>
      <c r="I121" s="65"/>
      <c r="J121" s="64"/>
      <c r="K121" s="64"/>
      <c r="L121" s="64"/>
      <c r="M121" s="64"/>
      <c r="N121" s="64"/>
      <c r="O121" s="72"/>
      <c r="P121" s="64"/>
    </row>
    <row r="122" spans="1:16" s="71" customFormat="1" x14ac:dyDescent="0.3">
      <c r="A122" s="62" t="s">
        <v>233</v>
      </c>
      <c r="B122" s="63" t="s">
        <v>139</v>
      </c>
      <c r="C122" s="76"/>
      <c r="D122" s="76"/>
      <c r="E122" s="76"/>
      <c r="F122" s="76"/>
      <c r="G122" s="76"/>
      <c r="H122" s="76">
        <v>1170.1500000000001</v>
      </c>
      <c r="I122" s="65"/>
      <c r="J122" s="64">
        <v>3500</v>
      </c>
      <c r="K122" s="64">
        <f>229.28</f>
        <v>229.28</v>
      </c>
      <c r="L122" s="64"/>
      <c r="M122" s="64"/>
      <c r="N122" s="64">
        <v>537.88</v>
      </c>
      <c r="O122" s="72"/>
      <c r="P122" s="64">
        <v>150</v>
      </c>
    </row>
    <row r="123" spans="1:16" x14ac:dyDescent="0.3">
      <c r="A123" s="19"/>
      <c r="B123" s="6" t="s">
        <v>160</v>
      </c>
      <c r="C123" s="28">
        <v>1789</v>
      </c>
      <c r="D123" s="28">
        <v>5816</v>
      </c>
      <c r="E123" s="28">
        <v>7527</v>
      </c>
      <c r="F123" s="29">
        <v>5683</v>
      </c>
      <c r="G123" s="29">
        <f>SUM(G117:G122)</f>
        <v>1227.98</v>
      </c>
      <c r="H123" s="29">
        <f>SUM(H117:H122)</f>
        <v>3959.6800000000003</v>
      </c>
      <c r="I123" s="29"/>
      <c r="J123" s="28">
        <f>SUM(J117:J122)</f>
        <v>3500</v>
      </c>
      <c r="K123" s="28">
        <f>SUM(K117:K122)</f>
        <v>4393.24</v>
      </c>
      <c r="L123" s="13"/>
      <c r="M123" s="28">
        <f>SUM(M117:M122)</f>
        <v>3500</v>
      </c>
      <c r="N123" s="28">
        <f>SUM(N117:N122)</f>
        <v>2374.8200000000002</v>
      </c>
      <c r="P123" s="28">
        <f>SUM(P117:P122)</f>
        <v>2650</v>
      </c>
    </row>
    <row r="124" spans="1:16" x14ac:dyDescent="0.3">
      <c r="A124" s="19"/>
      <c r="B124" s="6"/>
      <c r="C124" s="28"/>
      <c r="D124" s="28"/>
      <c r="E124" s="28"/>
      <c r="F124" s="29"/>
      <c r="G124" s="29"/>
      <c r="H124" s="29"/>
      <c r="I124" s="29"/>
      <c r="J124" s="28"/>
      <c r="K124" s="28"/>
      <c r="L124" s="13"/>
      <c r="M124" s="28"/>
      <c r="N124" s="28"/>
      <c r="P124" s="28"/>
    </row>
    <row r="125" spans="1:16" x14ac:dyDescent="0.3">
      <c r="A125" s="19" t="s">
        <v>112</v>
      </c>
      <c r="B125" s="11" t="s">
        <v>113</v>
      </c>
      <c r="C125" s="31"/>
      <c r="D125" s="31"/>
      <c r="E125" s="31"/>
      <c r="F125" s="31"/>
      <c r="L125" s="13"/>
    </row>
    <row r="126" spans="1:16" s="71" customFormat="1" x14ac:dyDescent="0.3">
      <c r="A126" s="62" t="s">
        <v>161</v>
      </c>
      <c r="B126" s="63" t="s">
        <v>198</v>
      </c>
      <c r="C126" s="64"/>
      <c r="D126" s="64"/>
      <c r="E126" s="64"/>
      <c r="F126" s="64">
        <v>1227.46</v>
      </c>
      <c r="G126" s="64">
        <f>106.27+106.27+106.25+106.83+108.03+108.03+107.61+109.27+107.61+108.98+108.98+104.03</f>
        <v>1288.1599999999999</v>
      </c>
      <c r="H126" s="64">
        <v>1349.35</v>
      </c>
      <c r="I126" s="65"/>
      <c r="J126" s="64">
        <v>1320</v>
      </c>
      <c r="K126" s="64">
        <v>1317.55</v>
      </c>
      <c r="L126" s="64"/>
      <c r="M126" s="64">
        <v>1320</v>
      </c>
      <c r="N126" s="64">
        <v>1009.89</v>
      </c>
      <c r="O126" s="72"/>
      <c r="P126" s="64">
        <v>1350</v>
      </c>
    </row>
    <row r="127" spans="1:16" s="71" customFormat="1" x14ac:dyDescent="0.3">
      <c r="A127" s="62" t="s">
        <v>162</v>
      </c>
      <c r="B127" s="63" t="s">
        <v>164</v>
      </c>
      <c r="C127" s="64"/>
      <c r="D127" s="64"/>
      <c r="E127" s="64"/>
      <c r="F127" s="64"/>
      <c r="G127" s="64">
        <f>270+263.67+270+270</f>
        <v>1073.67</v>
      </c>
      <c r="H127" s="64">
        <f>830.17+270</f>
        <v>1100.17</v>
      </c>
      <c r="I127" s="65"/>
      <c r="J127" s="64">
        <v>1100</v>
      </c>
      <c r="K127" s="64">
        <v>1076.5</v>
      </c>
      <c r="L127" s="64"/>
      <c r="M127" s="64">
        <v>1100</v>
      </c>
      <c r="N127" s="64">
        <v>810</v>
      </c>
      <c r="O127" s="72"/>
      <c r="P127" s="64">
        <v>1100</v>
      </c>
    </row>
    <row r="128" spans="1:16" s="71" customFormat="1" x14ac:dyDescent="0.3">
      <c r="A128" s="62" t="s">
        <v>163</v>
      </c>
      <c r="B128" s="63" t="s">
        <v>165</v>
      </c>
      <c r="C128" s="64"/>
      <c r="D128" s="64"/>
      <c r="E128" s="64"/>
      <c r="F128" s="64"/>
      <c r="G128" s="64"/>
      <c r="H128" s="64">
        <f>819.88-270</f>
        <v>549.88</v>
      </c>
      <c r="I128" s="65"/>
      <c r="J128" s="64">
        <v>984</v>
      </c>
      <c r="K128" s="64">
        <v>1110.04</v>
      </c>
      <c r="L128" s="64"/>
      <c r="M128" s="64">
        <v>2000</v>
      </c>
      <c r="N128" s="64">
        <v>750.13</v>
      </c>
      <c r="O128" s="72"/>
      <c r="P128" s="64">
        <v>1000</v>
      </c>
    </row>
    <row r="129" spans="1:16" s="71" customFormat="1" x14ac:dyDescent="0.3">
      <c r="A129" s="62" t="s">
        <v>194</v>
      </c>
      <c r="B129" s="63" t="s">
        <v>207</v>
      </c>
      <c r="C129" s="64"/>
      <c r="D129" s="64"/>
      <c r="E129" s="64"/>
      <c r="F129" s="64"/>
      <c r="G129" s="64"/>
      <c r="H129" s="64"/>
      <c r="I129" s="65"/>
      <c r="J129" s="64"/>
      <c r="K129" s="64"/>
      <c r="L129" s="64"/>
      <c r="M129" s="64"/>
      <c r="N129" s="64">
        <v>432.84</v>
      </c>
      <c r="O129" s="72"/>
      <c r="P129" s="64">
        <v>1000</v>
      </c>
    </row>
    <row r="130" spans="1:16" x14ac:dyDescent="0.3">
      <c r="A130" s="20"/>
      <c r="B130" s="6" t="s">
        <v>166</v>
      </c>
      <c r="C130" s="28">
        <v>1262</v>
      </c>
      <c r="D130" s="28">
        <v>1301</v>
      </c>
      <c r="E130" s="28">
        <v>1188</v>
      </c>
      <c r="F130" s="28">
        <v>1227</v>
      </c>
      <c r="G130" s="28">
        <f ca="1">SUM(G126:G151)</f>
        <v>2361.83</v>
      </c>
      <c r="H130" s="29">
        <f ca="1">SUM(H126:H151)</f>
        <v>2999.4</v>
      </c>
      <c r="I130" s="29"/>
      <c r="J130" s="28">
        <f>SUM(J126:J129)</f>
        <v>3404</v>
      </c>
      <c r="K130" s="28">
        <f>SUM(K126:K129)</f>
        <v>3504.09</v>
      </c>
      <c r="L130" s="13"/>
      <c r="M130" s="28">
        <f>SUM(M126:M129)</f>
        <v>4420</v>
      </c>
      <c r="N130" s="28">
        <f>SUM(N126:N129)</f>
        <v>3002.86</v>
      </c>
      <c r="P130" s="28">
        <f>SUM(P126:P129)</f>
        <v>4450</v>
      </c>
    </row>
    <row r="131" spans="1:16" x14ac:dyDescent="0.3">
      <c r="A131" s="19" t="s">
        <v>114</v>
      </c>
      <c r="B131" s="11" t="s">
        <v>115</v>
      </c>
      <c r="C131" s="31"/>
      <c r="D131" s="31"/>
      <c r="E131" s="31"/>
      <c r="F131" s="28"/>
      <c r="H131" s="29">
        <v>0</v>
      </c>
      <c r="I131" s="29"/>
      <c r="L131" s="13"/>
    </row>
    <row r="132" spans="1:16" x14ac:dyDescent="0.3">
      <c r="A132" s="19"/>
      <c r="B132" s="11"/>
      <c r="C132" s="31"/>
      <c r="D132" s="31"/>
      <c r="E132" s="31"/>
      <c r="F132" s="28"/>
      <c r="H132" s="29"/>
      <c r="I132" s="29"/>
      <c r="L132" s="13"/>
    </row>
    <row r="133" spans="1:16" x14ac:dyDescent="0.3">
      <c r="A133" s="19" t="s">
        <v>116</v>
      </c>
      <c r="B133" s="11" t="s">
        <v>117</v>
      </c>
      <c r="C133" s="28"/>
      <c r="D133" s="28"/>
      <c r="E133" s="28"/>
      <c r="F133" s="28"/>
      <c r="G133" s="28"/>
      <c r="H133" s="29"/>
      <c r="I133" s="29"/>
      <c r="J133" s="8"/>
      <c r="K133" s="8"/>
      <c r="L133" s="13"/>
    </row>
    <row r="134" spans="1:16" s="71" customFormat="1" x14ac:dyDescent="0.3">
      <c r="A134" s="80" t="s">
        <v>257</v>
      </c>
      <c r="B134" s="63" t="s">
        <v>197</v>
      </c>
      <c r="C134" s="64"/>
      <c r="D134" s="64"/>
      <c r="E134" s="64"/>
      <c r="F134" s="64"/>
      <c r="G134" s="64">
        <v>52</v>
      </c>
      <c r="H134" s="64">
        <v>54</v>
      </c>
      <c r="I134" s="65"/>
      <c r="J134" s="64"/>
      <c r="K134" s="64">
        <v>56</v>
      </c>
      <c r="L134" s="64"/>
      <c r="M134" s="64">
        <v>52</v>
      </c>
      <c r="N134" s="64">
        <v>166</v>
      </c>
      <c r="O134" s="72"/>
      <c r="P134" s="64">
        <v>60</v>
      </c>
    </row>
    <row r="135" spans="1:16" s="71" customFormat="1" x14ac:dyDescent="0.3">
      <c r="A135" s="80" t="s">
        <v>258</v>
      </c>
      <c r="B135" s="63" t="s">
        <v>201</v>
      </c>
      <c r="C135" s="64"/>
      <c r="D135" s="64">
        <v>19.940000000000001</v>
      </c>
      <c r="E135" s="64"/>
      <c r="F135" s="64"/>
      <c r="G135" s="64">
        <f>132+97.15+98+132+132+132+79+181+83+49</f>
        <v>1115.1500000000001</v>
      </c>
      <c r="H135" s="64">
        <v>912.6</v>
      </c>
      <c r="I135" s="65"/>
      <c r="J135" s="64"/>
      <c r="K135" s="64">
        <f>1177.88-106.18</f>
        <v>1071.7</v>
      </c>
      <c r="L135" s="64"/>
      <c r="M135" s="64"/>
      <c r="N135" s="64">
        <v>290</v>
      </c>
      <c r="O135" s="72"/>
      <c r="P135" s="64">
        <v>1300</v>
      </c>
    </row>
    <row r="136" spans="1:16" s="71" customFormat="1" x14ac:dyDescent="0.3">
      <c r="A136" s="80" t="s">
        <v>259</v>
      </c>
      <c r="B136" s="63" t="s">
        <v>210</v>
      </c>
      <c r="C136" s="64"/>
      <c r="D136" s="64"/>
      <c r="E136" s="64"/>
      <c r="F136" s="64"/>
      <c r="G136" s="64"/>
      <c r="H136" s="64"/>
      <c r="I136" s="65"/>
      <c r="J136" s="64"/>
      <c r="K136" s="64">
        <v>106.18</v>
      </c>
      <c r="L136" s="64"/>
      <c r="M136" s="64"/>
      <c r="N136" s="64"/>
      <c r="O136" s="72"/>
      <c r="P136" s="64">
        <v>100</v>
      </c>
    </row>
    <row r="137" spans="1:16" x14ac:dyDescent="0.3">
      <c r="A137" s="19"/>
      <c r="B137" s="6" t="s">
        <v>117</v>
      </c>
      <c r="C137" s="28">
        <v>150</v>
      </c>
      <c r="D137" s="28">
        <v>64</v>
      </c>
      <c r="E137" s="28">
        <v>200</v>
      </c>
      <c r="F137" s="28">
        <v>1530</v>
      </c>
      <c r="G137" s="28">
        <f>SUM(G134:G136)</f>
        <v>1167.1500000000001</v>
      </c>
      <c r="H137" s="29">
        <f>SUM(H134:H136)</f>
        <v>966.6</v>
      </c>
      <c r="I137" s="29"/>
      <c r="J137" s="28">
        <v>900</v>
      </c>
      <c r="K137" s="28">
        <f>SUM(K134:K136)</f>
        <v>1233.8800000000001</v>
      </c>
      <c r="L137" s="13"/>
      <c r="M137" s="28">
        <f>SUM(M134:M136)</f>
        <v>52</v>
      </c>
      <c r="N137" s="28">
        <f>SUM(N134:N136)</f>
        <v>456</v>
      </c>
      <c r="P137" s="28">
        <f>SUM(P134:P136)</f>
        <v>1460</v>
      </c>
    </row>
    <row r="138" spans="1:16" x14ac:dyDescent="0.3">
      <c r="A138" s="19"/>
      <c r="B138" s="6"/>
      <c r="C138" s="28"/>
      <c r="D138" s="28"/>
      <c r="E138" s="28"/>
      <c r="F138" s="28"/>
      <c r="G138" s="28"/>
      <c r="H138" s="29"/>
      <c r="I138" s="29"/>
      <c r="J138" s="28"/>
      <c r="K138" s="28"/>
      <c r="L138" s="13"/>
      <c r="M138" s="28"/>
      <c r="N138" s="28"/>
      <c r="P138" s="28"/>
    </row>
    <row r="139" spans="1:16" x14ac:dyDescent="0.3">
      <c r="A139" s="19" t="s">
        <v>118</v>
      </c>
      <c r="B139" s="11" t="s">
        <v>119</v>
      </c>
      <c r="C139" s="31"/>
      <c r="D139" s="31"/>
      <c r="E139" s="31"/>
      <c r="F139" s="31"/>
      <c r="L139" s="13"/>
    </row>
    <row r="140" spans="1:16" s="71" customFormat="1" x14ac:dyDescent="0.3">
      <c r="A140" s="62" t="s">
        <v>167</v>
      </c>
      <c r="B140" s="63" t="s">
        <v>170</v>
      </c>
      <c r="C140" s="65"/>
      <c r="D140" s="65"/>
      <c r="E140" s="65"/>
      <c r="F140" s="65"/>
      <c r="G140" s="65">
        <f>50+250+400+75+100+50+250+25+100+50</f>
        <v>1350</v>
      </c>
      <c r="H140" s="64">
        <v>1330</v>
      </c>
      <c r="I140" s="65"/>
      <c r="J140" s="64">
        <v>1200</v>
      </c>
      <c r="K140" s="64">
        <v>1275</v>
      </c>
      <c r="L140" s="64"/>
      <c r="M140" s="64">
        <v>1200</v>
      </c>
      <c r="N140" s="64">
        <v>1116</v>
      </c>
      <c r="O140" s="72"/>
      <c r="P140" s="64">
        <v>1800</v>
      </c>
    </row>
    <row r="141" spans="1:16" s="71" customFormat="1" x14ac:dyDescent="0.3">
      <c r="A141" s="62" t="s">
        <v>168</v>
      </c>
      <c r="B141" s="63" t="s">
        <v>171</v>
      </c>
      <c r="C141" s="65"/>
      <c r="D141" s="65"/>
      <c r="E141" s="65"/>
      <c r="F141" s="65"/>
      <c r="G141" s="65"/>
      <c r="H141" s="64">
        <v>1575</v>
      </c>
      <c r="I141" s="65"/>
      <c r="J141" s="64"/>
      <c r="K141" s="64">
        <v>1705</v>
      </c>
      <c r="L141" s="64"/>
      <c r="M141" s="64">
        <v>2500</v>
      </c>
      <c r="N141" s="64">
        <v>985</v>
      </c>
      <c r="O141" s="72"/>
      <c r="P141" s="64">
        <v>1800</v>
      </c>
    </row>
    <row r="142" spans="1:16" s="71" customFormat="1" x14ac:dyDescent="0.3">
      <c r="A142" s="62" t="s">
        <v>169</v>
      </c>
      <c r="B142" s="63" t="s">
        <v>190</v>
      </c>
      <c r="C142" s="65"/>
      <c r="D142" s="65"/>
      <c r="E142" s="65"/>
      <c r="F142" s="65"/>
      <c r="G142" s="65"/>
      <c r="H142" s="64"/>
      <c r="I142" s="65"/>
      <c r="J142" s="64"/>
      <c r="K142" s="64"/>
      <c r="L142" s="64"/>
      <c r="M142" s="64"/>
      <c r="N142" s="64"/>
      <c r="O142" s="72"/>
      <c r="P142" s="64">
        <v>2000</v>
      </c>
    </row>
    <row r="143" spans="1:16" s="71" customFormat="1" x14ac:dyDescent="0.3">
      <c r="A143" s="62" t="s">
        <v>223</v>
      </c>
      <c r="B143" s="63" t="s">
        <v>224</v>
      </c>
      <c r="C143" s="65"/>
      <c r="D143" s="65"/>
      <c r="E143" s="65"/>
      <c r="F143" s="65"/>
      <c r="G143" s="65">
        <v>613.20000000000005</v>
      </c>
      <c r="H143" s="64"/>
      <c r="I143" s="65"/>
      <c r="J143" s="64"/>
      <c r="K143" s="64"/>
      <c r="L143" s="64"/>
      <c r="M143" s="64"/>
      <c r="N143" s="64"/>
      <c r="O143" s="72"/>
      <c r="P143" s="64">
        <v>750</v>
      </c>
    </row>
    <row r="144" spans="1:16" s="71" customFormat="1" x14ac:dyDescent="0.3">
      <c r="A144" s="62" t="s">
        <v>228</v>
      </c>
      <c r="B144" s="63" t="s">
        <v>139</v>
      </c>
      <c r="C144" s="65"/>
      <c r="D144" s="65"/>
      <c r="E144" s="65"/>
      <c r="F144" s="65"/>
      <c r="G144" s="65"/>
      <c r="H144" s="64"/>
      <c r="I144" s="65"/>
      <c r="J144" s="64"/>
      <c r="K144" s="64">
        <v>750</v>
      </c>
      <c r="L144" s="64"/>
      <c r="M144" s="65"/>
      <c r="N144" s="64"/>
      <c r="O144" s="70"/>
      <c r="P144" s="65"/>
    </row>
    <row r="145" spans="1:16" x14ac:dyDescent="0.3">
      <c r="A145" s="20"/>
      <c r="B145" s="6" t="s">
        <v>172</v>
      </c>
      <c r="C145" s="28">
        <v>0</v>
      </c>
      <c r="D145" s="28">
        <v>0</v>
      </c>
      <c r="E145" s="28">
        <v>0</v>
      </c>
      <c r="F145" s="28">
        <v>1850</v>
      </c>
      <c r="G145" s="28">
        <f t="shared" ref="G145:H145" si="9">SUM(G140:G144)</f>
        <v>1963.2</v>
      </c>
      <c r="H145" s="28">
        <f t="shared" si="9"/>
        <v>2905</v>
      </c>
      <c r="I145" s="29"/>
      <c r="J145" s="28">
        <f>SUM(J140:J144)</f>
        <v>1200</v>
      </c>
      <c r="K145" s="28">
        <f>SUM(K140:K144)</f>
        <v>3730</v>
      </c>
      <c r="L145" s="13"/>
      <c r="M145" s="28">
        <f>SUM(M140:M144)</f>
        <v>3700</v>
      </c>
      <c r="N145" s="28">
        <f>SUM(N140:N144)</f>
        <v>2101</v>
      </c>
      <c r="P145" s="28">
        <f>SUM(P140:P144)</f>
        <v>6350</v>
      </c>
    </row>
    <row r="146" spans="1:16" x14ac:dyDescent="0.3">
      <c r="A146" s="20"/>
      <c r="B146" s="6"/>
      <c r="C146" s="28"/>
      <c r="D146" s="28"/>
      <c r="E146" s="28"/>
      <c r="F146" s="28"/>
      <c r="G146" s="28"/>
      <c r="H146" s="28"/>
      <c r="I146" s="29"/>
      <c r="J146" s="28"/>
      <c r="K146" s="28"/>
      <c r="L146" s="13"/>
      <c r="M146" s="28"/>
      <c r="N146" s="28"/>
      <c r="P146" s="28"/>
    </row>
    <row r="147" spans="1:16" x14ac:dyDescent="0.3">
      <c r="A147" s="19" t="s">
        <v>120</v>
      </c>
      <c r="B147" s="11" t="s">
        <v>121</v>
      </c>
      <c r="C147" s="31"/>
      <c r="D147" s="31"/>
      <c r="E147" s="31"/>
      <c r="F147" s="31"/>
      <c r="L147" s="13"/>
    </row>
    <row r="148" spans="1:16" s="71" customFormat="1" x14ac:dyDescent="0.3">
      <c r="A148" s="62" t="s">
        <v>173</v>
      </c>
      <c r="B148" s="63" t="s">
        <v>200</v>
      </c>
      <c r="C148" s="64"/>
      <c r="D148" s="64"/>
      <c r="E148" s="64"/>
      <c r="F148" s="64"/>
      <c r="G148" s="64">
        <v>356.99</v>
      </c>
      <c r="H148" s="64">
        <v>81.96</v>
      </c>
      <c r="I148" s="65"/>
      <c r="J148" s="64"/>
      <c r="K148" s="64">
        <v>114.95</v>
      </c>
      <c r="L148" s="64"/>
      <c r="M148" s="64">
        <v>3479</v>
      </c>
      <c r="N148" s="64">
        <v>2791.19</v>
      </c>
      <c r="O148" s="70"/>
      <c r="P148" s="65"/>
    </row>
    <row r="149" spans="1:16" s="71" customFormat="1" x14ac:dyDescent="0.3">
      <c r="A149" s="62" t="s">
        <v>174</v>
      </c>
      <c r="B149" s="63" t="s">
        <v>217</v>
      </c>
      <c r="C149" s="64"/>
      <c r="D149" s="64"/>
      <c r="E149" s="64"/>
      <c r="F149" s="64"/>
      <c r="G149" s="64"/>
      <c r="H149" s="64">
        <v>215.95</v>
      </c>
      <c r="I149" s="65"/>
      <c r="J149" s="64"/>
      <c r="K149" s="64"/>
      <c r="L149" s="64"/>
      <c r="M149" s="65"/>
      <c r="N149" s="64"/>
      <c r="O149" s="70"/>
      <c r="P149" s="65"/>
    </row>
    <row r="150" spans="1:16" s="71" customFormat="1" x14ac:dyDescent="0.3">
      <c r="A150" s="62" t="s">
        <v>211</v>
      </c>
      <c r="B150" s="63" t="s">
        <v>231</v>
      </c>
      <c r="C150" s="64"/>
      <c r="D150" s="64"/>
      <c r="E150" s="64"/>
      <c r="F150" s="64"/>
      <c r="G150" s="64">
        <f>188.41+339.96+349.96+370.76+370.76+349.96</f>
        <v>1969.81</v>
      </c>
      <c r="H150" s="64"/>
      <c r="I150" s="65"/>
      <c r="J150" s="64">
        <v>3000</v>
      </c>
      <c r="K150" s="64"/>
      <c r="L150" s="64"/>
      <c r="M150" s="65"/>
      <c r="N150" s="64"/>
      <c r="O150" s="70"/>
      <c r="P150" s="65"/>
    </row>
    <row r="151" spans="1:16" s="71" customFormat="1" x14ac:dyDescent="0.3">
      <c r="A151" s="62" t="s">
        <v>244</v>
      </c>
      <c r="B151" s="63" t="s">
        <v>195</v>
      </c>
      <c r="C151" s="64"/>
      <c r="D151" s="64"/>
      <c r="E151" s="64"/>
      <c r="F151" s="64"/>
      <c r="G151" s="64"/>
      <c r="H151" s="64"/>
      <c r="I151" s="65"/>
      <c r="J151" s="64" t="s">
        <v>196</v>
      </c>
      <c r="K151" s="64">
        <v>21.17</v>
      </c>
      <c r="L151" s="64"/>
      <c r="M151" s="64">
        <v>21</v>
      </c>
      <c r="N151" s="64">
        <v>21.17</v>
      </c>
      <c r="O151" s="72"/>
      <c r="P151" s="64">
        <v>21</v>
      </c>
    </row>
    <row r="152" spans="1:16" x14ac:dyDescent="0.3">
      <c r="A152" s="20"/>
      <c r="B152" s="6" t="s">
        <v>175</v>
      </c>
      <c r="C152" s="31"/>
      <c r="D152" s="28">
        <v>0</v>
      </c>
      <c r="E152" s="28">
        <v>0</v>
      </c>
      <c r="F152" s="28">
        <v>1301</v>
      </c>
      <c r="G152" s="28">
        <f>SUM(G148:G150)</f>
        <v>2326.8000000000002</v>
      </c>
      <c r="H152" s="28">
        <f>SUM(H148:H150)</f>
        <v>297.90999999999997</v>
      </c>
      <c r="I152" s="29"/>
      <c r="J152" s="28">
        <f>SUM(J148:J151)</f>
        <v>3000</v>
      </c>
      <c r="K152" s="28">
        <f>SUM(K148:K151)</f>
        <v>136.12</v>
      </c>
      <c r="L152" s="13"/>
      <c r="M152" s="28">
        <f>SUM(M148:M151)</f>
        <v>3500</v>
      </c>
      <c r="N152" s="28">
        <f>SUM(N148:N151)</f>
        <v>2812.36</v>
      </c>
      <c r="P152" s="28">
        <f>SUM(P148:P151)</f>
        <v>21</v>
      </c>
    </row>
    <row r="153" spans="1:16" x14ac:dyDescent="0.3">
      <c r="A153" s="20"/>
      <c r="B153" s="6"/>
      <c r="C153" s="31"/>
      <c r="D153" s="28"/>
      <c r="E153" s="28"/>
      <c r="F153" s="28"/>
      <c r="G153" s="28"/>
      <c r="H153" s="28"/>
      <c r="I153" s="29"/>
      <c r="J153" s="28"/>
      <c r="K153" s="28"/>
      <c r="L153" s="13"/>
      <c r="M153" s="28"/>
      <c r="N153" s="28"/>
    </row>
    <row r="154" spans="1:16" x14ac:dyDescent="0.3">
      <c r="A154" s="19" t="s">
        <v>122</v>
      </c>
      <c r="B154" s="11" t="s">
        <v>123</v>
      </c>
      <c r="C154" s="31"/>
      <c r="D154" s="31"/>
      <c r="E154" s="31"/>
      <c r="F154" s="31"/>
      <c r="L154" s="13"/>
    </row>
    <row r="155" spans="1:16" s="71" customFormat="1" x14ac:dyDescent="0.3">
      <c r="A155" s="62" t="s">
        <v>176</v>
      </c>
      <c r="B155" s="63" t="s">
        <v>184</v>
      </c>
      <c r="C155" s="64"/>
      <c r="D155" s="64"/>
      <c r="E155" s="64"/>
      <c r="F155" s="64"/>
      <c r="G155" s="64">
        <f>88</f>
        <v>88</v>
      </c>
      <c r="H155" s="64">
        <v>282.55</v>
      </c>
      <c r="I155" s="65"/>
      <c r="J155" s="64"/>
      <c r="K155" s="64">
        <v>433.44</v>
      </c>
      <c r="L155" s="64"/>
      <c r="M155" s="65"/>
      <c r="N155" s="64"/>
      <c r="O155" s="70"/>
      <c r="P155" s="64">
        <v>500</v>
      </c>
    </row>
    <row r="156" spans="1:16" s="71" customFormat="1" x14ac:dyDescent="0.3">
      <c r="A156" s="62" t="s">
        <v>177</v>
      </c>
      <c r="B156" s="63" t="s">
        <v>1</v>
      </c>
      <c r="C156" s="64"/>
      <c r="D156" s="64"/>
      <c r="E156" s="64"/>
      <c r="F156" s="64"/>
      <c r="G156" s="64">
        <f>51+174.75</f>
        <v>225.75</v>
      </c>
      <c r="H156" s="64">
        <v>195.75</v>
      </c>
      <c r="I156" s="65"/>
      <c r="J156" s="64"/>
      <c r="K156" s="64">
        <v>84</v>
      </c>
      <c r="L156" s="64"/>
      <c r="M156" s="65"/>
      <c r="N156" s="64"/>
      <c r="O156" s="70"/>
      <c r="P156" s="64"/>
    </row>
    <row r="157" spans="1:16" s="71" customFormat="1" x14ac:dyDescent="0.3">
      <c r="A157" s="62" t="s">
        <v>178</v>
      </c>
      <c r="B157" s="63" t="s">
        <v>185</v>
      </c>
      <c r="C157" s="64"/>
      <c r="D157" s="64"/>
      <c r="E157" s="64"/>
      <c r="F157" s="64"/>
      <c r="G157" s="64">
        <v>4886.46</v>
      </c>
      <c r="H157" s="64">
        <v>5083</v>
      </c>
      <c r="I157" s="65"/>
      <c r="J157" s="64">
        <v>6273</v>
      </c>
      <c r="K157" s="64">
        <v>5281</v>
      </c>
      <c r="L157" s="64"/>
      <c r="M157" s="64">
        <v>5186</v>
      </c>
      <c r="N157" s="64">
        <v>5186</v>
      </c>
      <c r="O157" s="70"/>
      <c r="P157" s="64">
        <v>5414</v>
      </c>
    </row>
    <row r="158" spans="1:16" s="71" customFormat="1" x14ac:dyDescent="0.3">
      <c r="A158" s="62" t="s">
        <v>179</v>
      </c>
      <c r="B158" s="63" t="s">
        <v>186</v>
      </c>
      <c r="C158" s="64"/>
      <c r="D158" s="64"/>
      <c r="E158" s="64"/>
      <c r="F158" s="64"/>
      <c r="G158" s="64">
        <f>44.94+62.06+50.83+34.77</f>
        <v>192.6</v>
      </c>
      <c r="H158" s="64">
        <v>1139.04</v>
      </c>
      <c r="I158" s="65"/>
      <c r="J158" s="64">
        <v>500</v>
      </c>
      <c r="K158" s="64">
        <v>583.23</v>
      </c>
      <c r="L158" s="64"/>
      <c r="M158" s="64">
        <v>1000</v>
      </c>
      <c r="N158" s="64">
        <v>89.15</v>
      </c>
      <c r="O158" s="70"/>
      <c r="P158" s="64">
        <v>1000</v>
      </c>
    </row>
    <row r="159" spans="1:16" s="71" customFormat="1" x14ac:dyDescent="0.3">
      <c r="A159" s="62" t="s">
        <v>180</v>
      </c>
      <c r="B159" s="63" t="s">
        <v>187</v>
      </c>
      <c r="C159" s="64"/>
      <c r="D159" s="64"/>
      <c r="E159" s="64"/>
      <c r="F159" s="64"/>
      <c r="G159" s="64"/>
      <c r="H159" s="64"/>
      <c r="I159" s="65"/>
      <c r="J159" s="64">
        <v>7500</v>
      </c>
      <c r="K159" s="64">
        <f>609.92-10.68</f>
        <v>599.24</v>
      </c>
      <c r="L159" s="64"/>
      <c r="M159" s="64">
        <v>4000</v>
      </c>
      <c r="N159" s="64">
        <v>902.57</v>
      </c>
      <c r="O159" s="70"/>
      <c r="P159" s="64">
        <v>1500</v>
      </c>
    </row>
    <row r="160" spans="1:16" s="71" customFormat="1" x14ac:dyDescent="0.3">
      <c r="A160" s="62" t="s">
        <v>181</v>
      </c>
      <c r="B160" s="63" t="s">
        <v>188</v>
      </c>
      <c r="C160" s="64"/>
      <c r="D160" s="64"/>
      <c r="E160" s="64"/>
      <c r="F160" s="64"/>
      <c r="G160" s="64"/>
      <c r="H160" s="64">
        <v>346.85</v>
      </c>
      <c r="I160" s="65"/>
      <c r="J160" s="64">
        <v>2000</v>
      </c>
      <c r="K160" s="64">
        <v>79</v>
      </c>
      <c r="L160" s="64"/>
      <c r="M160" s="64">
        <v>2000</v>
      </c>
      <c r="N160" s="64">
        <v>164.5</v>
      </c>
      <c r="O160" s="70"/>
      <c r="P160" s="64">
        <v>2000</v>
      </c>
    </row>
    <row r="161" spans="1:16" s="71" customFormat="1" x14ac:dyDescent="0.3">
      <c r="A161" s="62" t="s">
        <v>182</v>
      </c>
      <c r="B161" s="63" t="s">
        <v>225</v>
      </c>
      <c r="C161" s="64"/>
      <c r="D161" s="64"/>
      <c r="E161" s="64"/>
      <c r="F161" s="64"/>
      <c r="G161" s="64">
        <f>49+90</f>
        <v>139</v>
      </c>
      <c r="H161" s="64"/>
      <c r="I161" s="65"/>
      <c r="J161" s="64"/>
      <c r="K161" s="64">
        <v>294.7</v>
      </c>
      <c r="L161" s="64"/>
      <c r="M161" s="65"/>
      <c r="N161" s="64"/>
      <c r="O161" s="70"/>
      <c r="P161" s="64">
        <v>300</v>
      </c>
    </row>
    <row r="162" spans="1:16" s="71" customFormat="1" x14ac:dyDescent="0.3">
      <c r="A162" s="62" t="s">
        <v>183</v>
      </c>
      <c r="B162" s="63" t="s">
        <v>227</v>
      </c>
      <c r="C162" s="64"/>
      <c r="D162" s="64"/>
      <c r="E162" s="64"/>
      <c r="F162" s="64"/>
      <c r="G162" s="64"/>
      <c r="H162" s="64"/>
      <c r="I162" s="65"/>
      <c r="J162" s="64"/>
      <c r="K162" s="64"/>
      <c r="L162" s="64"/>
      <c r="M162" s="65"/>
      <c r="N162" s="64"/>
      <c r="O162" s="70"/>
      <c r="P162" s="64">
        <v>10000</v>
      </c>
    </row>
    <row r="163" spans="1:16" s="71" customFormat="1" x14ac:dyDescent="0.3">
      <c r="A163" s="62" t="s">
        <v>226</v>
      </c>
      <c r="B163" s="63" t="s">
        <v>236</v>
      </c>
      <c r="C163" s="64"/>
      <c r="D163" s="64"/>
      <c r="E163" s="64"/>
      <c r="F163" s="64"/>
      <c r="G163" s="64">
        <f>50+100+50+50+80+80+80+80+80+80+80</f>
        <v>810</v>
      </c>
      <c r="H163" s="64"/>
      <c r="I163" s="65"/>
      <c r="J163" s="64"/>
      <c r="K163" s="64"/>
      <c r="L163" s="64"/>
      <c r="M163" s="65"/>
      <c r="N163" s="64"/>
      <c r="O163" s="70"/>
      <c r="P163" s="64">
        <f>12*80</f>
        <v>960</v>
      </c>
    </row>
    <row r="164" spans="1:16" s="71" customFormat="1" x14ac:dyDescent="0.3">
      <c r="A164" s="62" t="s">
        <v>235</v>
      </c>
      <c r="B164" s="63" t="s">
        <v>238</v>
      </c>
      <c r="C164" s="64"/>
      <c r="D164" s="64"/>
      <c r="E164" s="64"/>
      <c r="F164" s="64"/>
      <c r="G164" s="64"/>
      <c r="H164" s="64"/>
      <c r="I164" s="65"/>
      <c r="J164" s="64"/>
      <c r="K164" s="64"/>
      <c r="L164" s="64"/>
      <c r="M164" s="65"/>
      <c r="N164" s="64"/>
      <c r="O164" s="70"/>
      <c r="P164" s="64">
        <v>198</v>
      </c>
    </row>
    <row r="165" spans="1:16" s="71" customFormat="1" x14ac:dyDescent="0.3">
      <c r="A165" s="62" t="s">
        <v>237</v>
      </c>
      <c r="B165" s="63" t="s">
        <v>139</v>
      </c>
      <c r="C165" s="64"/>
      <c r="D165" s="64"/>
      <c r="E165" s="64"/>
      <c r="F165" s="64"/>
      <c r="G165" s="64">
        <v>20</v>
      </c>
      <c r="H165" s="64">
        <f>17.38+17.98</f>
        <v>35.36</v>
      </c>
      <c r="I165" s="65"/>
      <c r="J165" s="64">
        <v>10798</v>
      </c>
      <c r="K165" s="64">
        <v>35.17</v>
      </c>
      <c r="L165" s="64"/>
      <c r="M165" s="65">
        <v>1937</v>
      </c>
      <c r="N165" s="64">
        <v>202.83</v>
      </c>
      <c r="O165" s="70"/>
      <c r="P165" s="64"/>
    </row>
    <row r="166" spans="1:16" x14ac:dyDescent="0.3">
      <c r="A166" s="19"/>
      <c r="B166" s="6" t="s">
        <v>189</v>
      </c>
      <c r="C166" s="28">
        <v>6477</v>
      </c>
      <c r="D166" s="28">
        <v>2470</v>
      </c>
      <c r="E166" s="28">
        <v>868</v>
      </c>
      <c r="F166" s="28">
        <v>7164</v>
      </c>
      <c r="G166" s="8">
        <f>SUM(G155:G165)</f>
        <v>6361.81</v>
      </c>
      <c r="H166" s="29">
        <f>SUM(H155:H165)</f>
        <v>7082.55</v>
      </c>
      <c r="I166" s="29"/>
      <c r="J166" s="8">
        <f>SUM(J155:J165)</f>
        <v>27071</v>
      </c>
      <c r="K166" s="8">
        <f>SUM(K155:K165)</f>
        <v>7389.78</v>
      </c>
      <c r="L166" s="13"/>
      <c r="M166" s="28">
        <f>SUM(M155:M165)</f>
        <v>14123</v>
      </c>
      <c r="N166" s="8">
        <f>SUM(N155:N165)</f>
        <v>6545.0499999999993</v>
      </c>
      <c r="P166" s="8">
        <f>SUM(P155:P165)</f>
        <v>21872</v>
      </c>
    </row>
    <row r="167" spans="1:16" x14ac:dyDescent="0.3">
      <c r="A167" s="19"/>
      <c r="B167" s="6"/>
      <c r="C167" s="28"/>
      <c r="D167" s="28"/>
      <c r="E167" s="28"/>
      <c r="F167" s="28"/>
      <c r="G167" s="8"/>
      <c r="H167" s="29"/>
      <c r="I167" s="29"/>
      <c r="J167" s="8"/>
      <c r="K167" s="8"/>
      <c r="L167" s="13"/>
      <c r="M167" s="28"/>
      <c r="N167" s="8"/>
      <c r="P167" s="8"/>
    </row>
    <row r="168" spans="1:16" x14ac:dyDescent="0.3">
      <c r="A168" s="19" t="s">
        <v>124</v>
      </c>
      <c r="B168" s="11" t="s">
        <v>199</v>
      </c>
      <c r="C168" s="31"/>
      <c r="D168" s="31"/>
      <c r="E168" s="31"/>
      <c r="F168" s="31"/>
      <c r="H168" s="32"/>
      <c r="I168" s="32"/>
      <c r="L168" s="13"/>
      <c r="M168" s="28"/>
    </row>
    <row r="169" spans="1:16" x14ac:dyDescent="0.3">
      <c r="B169" s="11" t="s">
        <v>131</v>
      </c>
      <c r="C169" s="31"/>
      <c r="D169" s="31"/>
      <c r="E169" s="31"/>
      <c r="F169" s="31"/>
      <c r="H169" s="32"/>
      <c r="I169" s="32"/>
      <c r="L169" s="13"/>
    </row>
    <row r="170" spans="1:16" x14ac:dyDescent="0.3">
      <c r="A170" s="19" t="s">
        <v>125</v>
      </c>
      <c r="B170" s="11" t="s">
        <v>191</v>
      </c>
      <c r="C170" s="28">
        <v>3416</v>
      </c>
      <c r="D170" s="28">
        <v>3416</v>
      </c>
      <c r="E170" s="28">
        <v>21874</v>
      </c>
      <c r="F170" s="28">
        <v>3590</v>
      </c>
      <c r="G170" s="28">
        <f>2080.72+744.89+211.89</f>
        <v>3037.4999999999995</v>
      </c>
      <c r="H170" s="29">
        <v>9752</v>
      </c>
      <c r="I170" s="29"/>
      <c r="L170" s="13"/>
    </row>
    <row r="171" spans="1:16" x14ac:dyDescent="0.3">
      <c r="A171" s="19" t="s">
        <v>126</v>
      </c>
      <c r="B171" s="11" t="s">
        <v>192</v>
      </c>
      <c r="C171" s="31"/>
      <c r="D171" s="31"/>
      <c r="E171" s="31"/>
      <c r="F171" s="31"/>
      <c r="H171" s="32"/>
      <c r="I171" s="32"/>
      <c r="L171" s="13"/>
    </row>
    <row r="172" spans="1:16" x14ac:dyDescent="0.3">
      <c r="A172" s="19" t="s">
        <v>127</v>
      </c>
      <c r="B172" s="11" t="s">
        <v>128</v>
      </c>
      <c r="C172" s="28">
        <v>3693</v>
      </c>
      <c r="D172" s="28">
        <v>3693</v>
      </c>
      <c r="E172" s="28">
        <v>12613</v>
      </c>
      <c r="F172" s="28">
        <v>459</v>
      </c>
      <c r="H172" s="32"/>
      <c r="I172" s="32"/>
      <c r="L172" s="13"/>
    </row>
    <row r="173" spans="1:16" x14ac:dyDescent="0.3">
      <c r="A173" s="19" t="s">
        <v>129</v>
      </c>
      <c r="B173" s="11" t="s">
        <v>130</v>
      </c>
      <c r="C173" s="31"/>
      <c r="E173" s="31"/>
      <c r="F173" s="31"/>
      <c r="H173" s="32"/>
      <c r="I173" s="32"/>
      <c r="L173" s="13"/>
    </row>
    <row r="174" spans="1:16" x14ac:dyDescent="0.3">
      <c r="A174" s="19"/>
      <c r="B174" s="11"/>
      <c r="C174" s="31"/>
      <c r="E174" s="31"/>
      <c r="F174" s="31"/>
      <c r="H174" s="32"/>
      <c r="I174" s="32"/>
      <c r="L174" s="13"/>
    </row>
    <row r="175" spans="1:16" x14ac:dyDescent="0.3">
      <c r="A175" s="21" t="s">
        <v>202</v>
      </c>
      <c r="B175" s="6" t="s">
        <v>239</v>
      </c>
      <c r="C175" s="8"/>
      <c r="E175" s="31"/>
      <c r="F175" s="31"/>
      <c r="H175" s="32"/>
      <c r="I175" s="32"/>
      <c r="L175" s="13"/>
      <c r="M175" s="28"/>
    </row>
    <row r="176" spans="1:16" s="1" customFormat="1" x14ac:dyDescent="0.3">
      <c r="A176" s="39"/>
      <c r="B176" s="43" t="s">
        <v>132</v>
      </c>
      <c r="C176" s="44">
        <f t="shared" ref="C176:H176" si="10">SUM(C54:C173)</f>
        <v>93405</v>
      </c>
      <c r="D176" s="44">
        <f t="shared" si="10"/>
        <v>117809.38</v>
      </c>
      <c r="E176" s="44">
        <f t="shared" si="10"/>
        <v>177301.46000000002</v>
      </c>
      <c r="F176" s="44">
        <f t="shared" si="10"/>
        <v>192531.02</v>
      </c>
      <c r="G176" s="44">
        <f t="shared" ca="1" si="10"/>
        <v>229495.14884499996</v>
      </c>
      <c r="H176" s="44">
        <f t="shared" ca="1" si="10"/>
        <v>264782.26494500006</v>
      </c>
      <c r="I176" s="44"/>
      <c r="J176" s="41">
        <f>SUM(J170:J173)+J166+J152+J145+J137+J131+J130+J123+J114+J103+J101+J99+J94+J85+J79+J73+J62</f>
        <v>161075</v>
      </c>
      <c r="K176" s="42">
        <f>K62+K73+K79+K85+K92+K99+K114+K123+K130+K137+K145+K152+K166</f>
        <v>146607.57999999999</v>
      </c>
      <c r="L176" s="42"/>
      <c r="M176" s="41">
        <f>SUM(M168:M173)+M166+M152+M145+M137+M131+M130+M123+M114+M103+M101+M99+M94+M85+M79+M73+M62+M175+M92</f>
        <v>229700</v>
      </c>
      <c r="N176" s="42">
        <f>N62+N73+N79+N85+N92+N94+N96+N99+N101+N103+N114+N123+N130+N131+N137+N145+N152+N166+N168+N169+N170+N171+N172+N173</f>
        <v>132293.96</v>
      </c>
      <c r="O176" s="58">
        <f>M50-M176</f>
        <v>-15000</v>
      </c>
      <c r="P176" s="41">
        <f>P62+P73+P79+P85+P92+P94+P96+P99+P101+P103+P114+P123+P130+P131+P137+P145+P152+P166+P168+P169+P170+P171+P172+P173</f>
        <v>216631.2</v>
      </c>
    </row>
    <row r="177" spans="2:16" x14ac:dyDescent="0.3">
      <c r="B177" s="6"/>
      <c r="F177" s="31"/>
      <c r="H177" s="32"/>
      <c r="I177" s="32"/>
      <c r="L177" s="13"/>
      <c r="P177" s="31">
        <f>P176-P50</f>
        <v>0.20000000001164153</v>
      </c>
    </row>
    <row r="178" spans="2:16" x14ac:dyDescent="0.3">
      <c r="B178" s="6"/>
      <c r="F178" s="31"/>
      <c r="H178" s="32"/>
      <c r="I178" s="32"/>
      <c r="L178" s="13"/>
    </row>
    <row r="179" spans="2:16" x14ac:dyDescent="0.3">
      <c r="B179" s="6"/>
      <c r="F179" s="31"/>
      <c r="H179" s="32"/>
      <c r="I179" s="32"/>
      <c r="L179" s="13"/>
    </row>
    <row r="180" spans="2:16" x14ac:dyDescent="0.3">
      <c r="B180" s="6"/>
      <c r="F180" s="31"/>
      <c r="H180" s="32"/>
      <c r="I180" s="32"/>
      <c r="L180" s="13"/>
    </row>
    <row r="181" spans="2:16" x14ac:dyDescent="0.3">
      <c r="B181" s="6"/>
      <c r="F181" s="31"/>
      <c r="H181" s="32"/>
      <c r="I181" s="32"/>
      <c r="L181" s="13"/>
    </row>
    <row r="182" spans="2:16" x14ac:dyDescent="0.3">
      <c r="B182" s="6"/>
      <c r="F182" s="31"/>
      <c r="H182" s="32"/>
      <c r="I182" s="32"/>
      <c r="L182" s="13"/>
    </row>
    <row r="183" spans="2:16" x14ac:dyDescent="0.3">
      <c r="B183" s="6"/>
      <c r="F183" s="31"/>
      <c r="H183" s="32"/>
      <c r="I183" s="32"/>
      <c r="L183" s="13"/>
    </row>
    <row r="184" spans="2:16" x14ac:dyDescent="0.3">
      <c r="B184" s="6"/>
      <c r="F184" s="31"/>
      <c r="H184" s="32"/>
      <c r="I184" s="32"/>
      <c r="L184" s="13"/>
    </row>
    <row r="185" spans="2:16" x14ac:dyDescent="0.3">
      <c r="B185" s="6"/>
      <c r="F185" s="31"/>
      <c r="H185" s="32"/>
      <c r="I185" s="32"/>
      <c r="L185" s="13"/>
    </row>
    <row r="186" spans="2:16" x14ac:dyDescent="0.3">
      <c r="B186" s="6"/>
      <c r="F186" s="31"/>
      <c r="H186" s="32"/>
      <c r="I186" s="32"/>
      <c r="L186" s="13"/>
    </row>
    <row r="187" spans="2:16" x14ac:dyDescent="0.3">
      <c r="B187" s="6"/>
      <c r="F187" s="31"/>
      <c r="L187" s="13"/>
    </row>
    <row r="188" spans="2:16" x14ac:dyDescent="0.3">
      <c r="B188" s="6"/>
      <c r="F188" s="31"/>
      <c r="L188" s="13"/>
    </row>
    <row r="189" spans="2:16" x14ac:dyDescent="0.3">
      <c r="C189" s="13">
        <v>31667</v>
      </c>
      <c r="D189" s="13">
        <v>35638</v>
      </c>
      <c r="E189" s="13">
        <v>52445</v>
      </c>
      <c r="F189" s="31">
        <v>67153</v>
      </c>
      <c r="L189" s="13"/>
    </row>
    <row r="190" spans="2:16" x14ac:dyDescent="0.3">
      <c r="C190" s="13">
        <v>9125</v>
      </c>
      <c r="D190" s="13">
        <v>7728</v>
      </c>
      <c r="E190" s="13">
        <v>1150</v>
      </c>
      <c r="F190" s="31">
        <v>1065</v>
      </c>
      <c r="L190" s="13"/>
    </row>
    <row r="191" spans="2:16" x14ac:dyDescent="0.3">
      <c r="C191" s="13">
        <v>8607</v>
      </c>
      <c r="D191" s="13">
        <v>7871</v>
      </c>
      <c r="E191" s="13">
        <v>9441</v>
      </c>
      <c r="F191" s="31">
        <v>13415</v>
      </c>
      <c r="L191" s="13"/>
    </row>
    <row r="192" spans="2:16" x14ac:dyDescent="0.3">
      <c r="C192" s="13">
        <v>0</v>
      </c>
      <c r="D192" s="13">
        <v>20</v>
      </c>
      <c r="E192" s="13">
        <v>20</v>
      </c>
      <c r="F192" s="31">
        <v>0</v>
      </c>
      <c r="L192" s="13"/>
    </row>
    <row r="193" spans="1:16" x14ac:dyDescent="0.3">
      <c r="C193" s="35">
        <v>34000</v>
      </c>
      <c r="D193" s="35">
        <v>33541</v>
      </c>
      <c r="E193" s="35">
        <v>37423</v>
      </c>
      <c r="F193" s="37">
        <v>34297</v>
      </c>
      <c r="L193" s="13"/>
    </row>
    <row r="194" spans="1:16" s="1" customFormat="1" x14ac:dyDescent="0.3">
      <c r="A194" s="19"/>
      <c r="B194" s="4"/>
      <c r="C194" s="8">
        <f>SUM(C189:C193)</f>
        <v>83399</v>
      </c>
      <c r="D194" s="8">
        <f>SUM(D189:D193)</f>
        <v>84798</v>
      </c>
      <c r="E194" s="8">
        <f>SUM(E189:E193)</f>
        <v>100479</v>
      </c>
      <c r="F194" s="28">
        <f>SUM(F189:F193)</f>
        <v>115930</v>
      </c>
      <c r="G194" s="28"/>
      <c r="H194" s="30"/>
      <c r="I194" s="30"/>
      <c r="J194" s="8"/>
      <c r="K194" s="8"/>
      <c r="L194" s="8"/>
      <c r="M194" s="28"/>
      <c r="N194" s="8"/>
      <c r="O194" s="53"/>
      <c r="P194" s="28"/>
    </row>
    <row r="195" spans="1:16" x14ac:dyDescent="0.3">
      <c r="F195" s="31"/>
      <c r="L195" s="13"/>
    </row>
    <row r="196" spans="1:16" x14ac:dyDescent="0.3">
      <c r="C196" s="13">
        <f>C54-C194</f>
        <v>-83399</v>
      </c>
      <c r="D196" s="13">
        <f>D54-D194</f>
        <v>-63346.16</v>
      </c>
      <c r="E196" s="13">
        <f>E54-E194</f>
        <v>-71865.67</v>
      </c>
      <c r="F196" s="31">
        <f>F54-F194</f>
        <v>-83929.98</v>
      </c>
      <c r="L196" s="13"/>
    </row>
    <row r="197" spans="1:16" x14ac:dyDescent="0.3">
      <c r="C197" s="35" t="e">
        <f>#REF!</f>
        <v>#REF!</v>
      </c>
      <c r="D197" s="35" t="e">
        <f>C198</f>
        <v>#REF!</v>
      </c>
      <c r="E197" s="35" t="e">
        <f>D198</f>
        <v>#REF!</v>
      </c>
      <c r="F197" s="37" t="e">
        <f>E198</f>
        <v>#REF!</v>
      </c>
      <c r="L197" s="13"/>
    </row>
    <row r="198" spans="1:16" x14ac:dyDescent="0.3">
      <c r="B198" s="1"/>
      <c r="C198" s="8" t="e">
        <f>SUM(C196:C197)</f>
        <v>#REF!</v>
      </c>
      <c r="D198" s="8" t="e">
        <f>SUM(D196:D197)</f>
        <v>#REF!</v>
      </c>
      <c r="E198" s="8" t="e">
        <f>SUM(E196:E197)</f>
        <v>#REF!</v>
      </c>
      <c r="F198" s="28" t="e">
        <f>SUM(F196:F197)</f>
        <v>#REF!</v>
      </c>
      <c r="L198" s="13"/>
    </row>
    <row r="199" spans="1:16" x14ac:dyDescent="0.3">
      <c r="F199" s="31"/>
      <c r="L199" s="13"/>
    </row>
    <row r="200" spans="1:16" x14ac:dyDescent="0.3">
      <c r="F200" s="31"/>
      <c r="L200" s="13"/>
    </row>
    <row r="201" spans="1:16" x14ac:dyDescent="0.3">
      <c r="L201" s="13"/>
    </row>
    <row r="202" spans="1:16" x14ac:dyDescent="0.3">
      <c r="L202" s="13"/>
    </row>
    <row r="203" spans="1:16" x14ac:dyDescent="0.3">
      <c r="B203" s="1"/>
      <c r="L203" s="13"/>
    </row>
    <row r="204" spans="1:16" x14ac:dyDescent="0.3">
      <c r="C204" s="13">
        <v>2392</v>
      </c>
      <c r="D204" s="13">
        <v>2510</v>
      </c>
      <c r="E204" s="13">
        <v>2510</v>
      </c>
      <c r="F204" s="13">
        <v>2510</v>
      </c>
      <c r="L204" s="13"/>
    </row>
    <row r="205" spans="1:16" x14ac:dyDescent="0.3">
      <c r="C205" s="13">
        <v>2278</v>
      </c>
      <c r="D205" s="13">
        <v>1795</v>
      </c>
      <c r="E205" s="13">
        <v>2144</v>
      </c>
      <c r="F205" s="13">
        <v>1136</v>
      </c>
      <c r="L205" s="13"/>
    </row>
    <row r="206" spans="1:16" x14ac:dyDescent="0.3">
      <c r="C206" s="13">
        <v>15282</v>
      </c>
      <c r="D206" s="13">
        <v>14879</v>
      </c>
      <c r="E206" s="13">
        <v>16517</v>
      </c>
      <c r="F206" s="13">
        <v>17892</v>
      </c>
      <c r="L206" s="13"/>
    </row>
    <row r="207" spans="1:16" x14ac:dyDescent="0.3">
      <c r="C207" s="13">
        <v>1262</v>
      </c>
      <c r="D207" s="13">
        <v>1301</v>
      </c>
      <c r="E207" s="13">
        <v>1180</v>
      </c>
      <c r="F207" s="13">
        <v>1227</v>
      </c>
      <c r="L207" s="13"/>
    </row>
    <row r="208" spans="1:16" x14ac:dyDescent="0.3">
      <c r="C208" s="13">
        <v>95</v>
      </c>
      <c r="E208" s="13">
        <v>25</v>
      </c>
      <c r="L208" s="13"/>
    </row>
    <row r="209" spans="3:12" x14ac:dyDescent="0.3">
      <c r="C209" s="13">
        <v>388</v>
      </c>
      <c r="D209" s="13">
        <v>662</v>
      </c>
      <c r="E209" s="13">
        <v>331</v>
      </c>
      <c r="L209" s="13"/>
    </row>
    <row r="210" spans="3:12" x14ac:dyDescent="0.3">
      <c r="C210" s="13">
        <v>165</v>
      </c>
      <c r="D210" s="13">
        <v>268</v>
      </c>
      <c r="E210" s="13">
        <v>97</v>
      </c>
      <c r="L210" s="13"/>
    </row>
    <row r="211" spans="3:12" x14ac:dyDescent="0.3">
      <c r="C211" s="13">
        <v>1349</v>
      </c>
      <c r="D211" s="13">
        <v>601</v>
      </c>
      <c r="E211" s="13">
        <v>125</v>
      </c>
      <c r="F211" s="13">
        <v>400</v>
      </c>
      <c r="L211" s="13"/>
    </row>
    <row r="212" spans="3:12" x14ac:dyDescent="0.3">
      <c r="C212" s="13">
        <v>742</v>
      </c>
      <c r="D212" s="13">
        <v>1425</v>
      </c>
      <c r="E212" s="13">
        <v>1056</v>
      </c>
      <c r="F212" s="13">
        <v>344</v>
      </c>
      <c r="L212" s="13"/>
    </row>
    <row r="213" spans="3:12" x14ac:dyDescent="0.3">
      <c r="C213" s="13">
        <v>209</v>
      </c>
      <c r="D213" s="13">
        <v>105</v>
      </c>
      <c r="L213" s="13"/>
    </row>
    <row r="214" spans="3:12" x14ac:dyDescent="0.3">
      <c r="C214" s="13">
        <v>582</v>
      </c>
      <c r="D214" s="13">
        <v>357</v>
      </c>
      <c r="E214" s="13">
        <v>102</v>
      </c>
      <c r="F214" s="13">
        <v>1910</v>
      </c>
      <c r="L214" s="13"/>
    </row>
    <row r="215" spans="3:12" x14ac:dyDescent="0.3">
      <c r="C215" s="13">
        <v>2506</v>
      </c>
      <c r="D215" s="13">
        <v>482</v>
      </c>
      <c r="F215" s="13">
        <v>574</v>
      </c>
      <c r="L215" s="13"/>
    </row>
    <row r="216" spans="3:12" x14ac:dyDescent="0.3">
      <c r="C216" s="13">
        <v>4420</v>
      </c>
      <c r="D216" s="13">
        <v>2467</v>
      </c>
      <c r="E216" s="13">
        <v>2540</v>
      </c>
      <c r="L216" s="13"/>
    </row>
    <row r="217" spans="3:12" x14ac:dyDescent="0.3">
      <c r="D217" s="13">
        <v>75</v>
      </c>
      <c r="L217" s="13"/>
    </row>
    <row r="218" spans="3:12" x14ac:dyDescent="0.3">
      <c r="C218" s="13">
        <v>44</v>
      </c>
      <c r="L218" s="13"/>
    </row>
    <row r="219" spans="3:12" x14ac:dyDescent="0.3">
      <c r="C219" s="13">
        <v>1680</v>
      </c>
      <c r="D219" s="13">
        <v>970</v>
      </c>
      <c r="L219" s="13"/>
    </row>
    <row r="220" spans="3:12" x14ac:dyDescent="0.3">
      <c r="C220" s="13">
        <v>172</v>
      </c>
      <c r="D220" s="13">
        <f>83+328</f>
        <v>411</v>
      </c>
      <c r="E220" s="13">
        <v>702</v>
      </c>
      <c r="L220" s="13"/>
    </row>
    <row r="221" spans="3:12" x14ac:dyDescent="0.3">
      <c r="D221" s="13">
        <v>1180</v>
      </c>
      <c r="L221" s="13"/>
    </row>
    <row r="222" spans="3:12" x14ac:dyDescent="0.3">
      <c r="D222" s="13">
        <v>2650</v>
      </c>
      <c r="E222" s="13">
        <v>3928</v>
      </c>
      <c r="F222" s="13">
        <v>1815</v>
      </c>
      <c r="L222" s="13"/>
    </row>
    <row r="223" spans="3:12" x14ac:dyDescent="0.3">
      <c r="E223" s="13">
        <v>185</v>
      </c>
      <c r="L223" s="13"/>
    </row>
    <row r="224" spans="3:12" x14ac:dyDescent="0.3">
      <c r="F224" s="13">
        <v>250</v>
      </c>
      <c r="L224" s="13"/>
    </row>
    <row r="225" spans="1:16" x14ac:dyDescent="0.3">
      <c r="F225" s="13">
        <v>778</v>
      </c>
      <c r="L225" s="13"/>
    </row>
    <row r="226" spans="1:16" x14ac:dyDescent="0.3">
      <c r="F226" s="13">
        <v>5</v>
      </c>
      <c r="L226" s="13"/>
    </row>
    <row r="227" spans="1:16" x14ac:dyDescent="0.3">
      <c r="C227" s="35">
        <v>434</v>
      </c>
      <c r="D227" s="35">
        <v>1403</v>
      </c>
      <c r="E227" s="35">
        <v>5981</v>
      </c>
      <c r="F227" s="35">
        <v>5456</v>
      </c>
      <c r="L227" s="13"/>
    </row>
    <row r="228" spans="1:16" x14ac:dyDescent="0.3">
      <c r="C228" s="8">
        <f>SUM(C204:C227)</f>
        <v>34000</v>
      </c>
      <c r="D228" s="8">
        <f>SUM(D204:D227)</f>
        <v>33541</v>
      </c>
      <c r="E228" s="8">
        <f>SUM(E204:E227)</f>
        <v>37423</v>
      </c>
      <c r="F228" s="8">
        <f>SUM(F204:F227)</f>
        <v>34297</v>
      </c>
      <c r="L228" s="13"/>
    </row>
    <row r="229" spans="1:16" x14ac:dyDescent="0.3">
      <c r="L229" s="13"/>
    </row>
    <row r="230" spans="1:16" x14ac:dyDescent="0.3">
      <c r="L230" s="13"/>
    </row>
    <row r="231" spans="1:16" x14ac:dyDescent="0.3">
      <c r="L231" s="13"/>
    </row>
    <row r="232" spans="1:16" s="1" customFormat="1" x14ac:dyDescent="0.3">
      <c r="A232" s="19"/>
      <c r="C232" s="8"/>
      <c r="D232" s="8">
        <v>19718</v>
      </c>
      <c r="E232" s="8">
        <v>13641</v>
      </c>
      <c r="F232" s="8" t="s">
        <v>2</v>
      </c>
      <c r="G232" s="28"/>
      <c r="H232" s="30"/>
      <c r="I232" s="30"/>
      <c r="J232" s="8"/>
      <c r="K232" s="8"/>
      <c r="L232" s="8"/>
      <c r="M232" s="28"/>
      <c r="N232" s="8"/>
      <c r="O232" s="53"/>
      <c r="P232" s="28"/>
    </row>
    <row r="233" spans="1:16" x14ac:dyDescent="0.3">
      <c r="L233" s="13"/>
    </row>
    <row r="234" spans="1:16" x14ac:dyDescent="0.3">
      <c r="L234" s="13"/>
    </row>
    <row r="235" spans="1:16" x14ac:dyDescent="0.3">
      <c r="L235" s="13"/>
    </row>
    <row r="236" spans="1:16" x14ac:dyDescent="0.3">
      <c r="L236" s="13"/>
    </row>
    <row r="237" spans="1:16" x14ac:dyDescent="0.3">
      <c r="L237" s="13"/>
    </row>
  </sheetData>
  <printOptions horizontalCentered="1"/>
  <pageMargins left="0.25" right="0.25" top="0.75" bottom="0.5" header="0.3" footer="0.3"/>
  <pageSetup scale="90" orientation="portrait" r:id="rId1"/>
  <headerFooter>
    <oddHeader>&amp;L&amp;"-,Bold"Page #&amp;P&amp;C&amp;"-,Bold"&amp;14Cohocton Public Library 
2021 Proposed Budget&amp;11
&amp;R&amp;"-,Bold"&amp;D</oddHead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Eckberry Farms</dc:creator>
  <cp:lastModifiedBy>libraryexec</cp:lastModifiedBy>
  <cp:lastPrinted>2021-01-19T19:55:38Z</cp:lastPrinted>
  <dcterms:created xsi:type="dcterms:W3CDTF">2017-09-03T17:28:17Z</dcterms:created>
  <dcterms:modified xsi:type="dcterms:W3CDTF">2021-01-20T19:57:43Z</dcterms:modified>
</cp:coreProperties>
</file>